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2435" activeTab="0"/>
  </bookViews>
  <sheets>
    <sheet name="10-ОИП_Раздел 1" sheetId="1" r:id="rId1"/>
    <sheet name="Данные прошлого года" sheetId="2" state="hidden" r:id="rId2"/>
    <sheet name="10-ОИП_Раздел 2" sheetId="3" r:id="rId3"/>
    <sheet name="10-ОИП_Раздел 3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externalReferences>
    <externalReference r:id="rId13"/>
  </externalReferences>
  <definedNames>
    <definedName name="_xlnm._FilterDatabase" localSheetId="1" hidden="1">'Данные прошлого года'!$A$3:$AI$95</definedName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1'!$A$3:$H$49</definedName>
    <definedName name="_xlnm.Print_Area" localSheetId="2">'10-ОИП_Раздел 2'!$A$2:$S$31</definedName>
  </definedNames>
  <calcPr fullCalcOnLoad="1"/>
</workbook>
</file>

<file path=xl/sharedStrings.xml><?xml version="1.0" encoding="utf-8"?>
<sst xmlns="http://schemas.openxmlformats.org/spreadsheetml/2006/main" count="563" uniqueCount="413">
  <si>
    <t>код
формы</t>
  </si>
  <si>
    <t>Наименование формы</t>
  </si>
  <si>
    <t>Имя
листа
(формы)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</si>
  <si>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</si>
  <si>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</si>
  <si>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</si>
  <si>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</si>
  <si>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</si>
  <si>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</si>
  <si>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</si>
  <si>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</si>
  <si>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</si>
  <si>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</si>
  <si>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</si>
  <si>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</si>
  <si>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</si>
  <si>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</si>
  <si>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</si>
  <si>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</si>
  <si>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</si>
  <si>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</si>
  <si>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</si>
  <si>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</si>
  <si>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</si>
  <si>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</si>
  <si>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</si>
  <si>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</si>
  <si>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</si>
  <si>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</si>
  <si>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(подпись)</t>
  </si>
  <si>
    <t>(должность)</t>
  </si>
  <si>
    <t>(дата составления документа)</t>
  </si>
  <si>
    <t>года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</si>
  <si>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</si>
  <si>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</si>
  <si>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</si>
  <si>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</si>
  <si>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</si>
  <si>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</si>
  <si>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</si>
  <si>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</si>
  <si>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>10-ОИП</t>
  </si>
  <si>
    <t/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</si>
  <si>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</si>
  <si>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</si>
  <si>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</si>
  <si>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</si>
  <si>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</si>
  <si>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</si>
  <si>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</si>
  <si>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</si>
  <si>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</si>
  <si>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</si>
  <si>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</si>
  <si>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</si>
  <si>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</si>
  <si>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</si>
  <si>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</si>
  <si>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</si>
  <si>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</si>
  <si>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</si>
  <si>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</si>
  <si>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</si>
  <si>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</si>
  <si>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</si>
  <si>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</si>
  <si>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</si>
  <si>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</si>
  <si>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</si>
  <si>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</si>
  <si>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</si>
  <si>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</si>
  <si>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</si>
  <si>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</si>
  <si>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</si>
  <si>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</si>
  <si>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</si>
  <si>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</si>
  <si>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</si>
  <si>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</si>
  <si>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</si>
  <si>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</si>
  <si>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</si>
  <si>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</si>
  <si>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</si>
  <si>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</si>
  <si>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</si>
  <si>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</si>
  <si>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</si>
  <si>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>Итого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</si>
  <si>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</si>
  <si>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</si>
  <si>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</si>
  <si>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</si>
  <si>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</si>
  <si>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</si>
  <si>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</si>
  <si>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</si>
  <si>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</si>
  <si>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</si>
  <si>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</si>
  <si>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</si>
  <si>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</si>
  <si>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</si>
  <si>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</si>
  <si>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</si>
  <si>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</si>
  <si>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 xml:space="preserve">                                                                          </t>
  </si>
  <si>
    <t>Наименование причин повреждения и гибели лесов</t>
  </si>
  <si>
    <t>более 40%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</si>
  <si>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</si>
  <si>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</si>
  <si>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</si>
  <si>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</si>
  <si>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</si>
  <si>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Непатогенные факторы</t>
  </si>
  <si>
    <t>Всего</t>
  </si>
  <si>
    <t>формула контроля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</si>
  <si>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</si>
  <si>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</si>
  <si>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</si>
  <si>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</si>
  <si>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</si>
  <si>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</si>
  <si>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гр.3</t>
  </si>
  <si>
    <t>гр.4</t>
  </si>
  <si>
    <t>гр.5</t>
  </si>
  <si>
    <t>гр.6</t>
  </si>
  <si>
    <t>гр.7</t>
  </si>
  <si>
    <t>гр.8</t>
  </si>
  <si>
    <t>гр.9</t>
  </si>
  <si>
    <t>v1.11</t>
  </si>
  <si>
    <t>(квартал (кварталы), год)</t>
  </si>
  <si>
    <t xml:space="preserve">       зимняя пяденица</t>
  </si>
  <si>
    <t>55</t>
  </si>
  <si>
    <t>56</t>
  </si>
  <si>
    <t xml:space="preserve">       другие виды стволовых 
       вредителей</t>
  </si>
  <si>
    <t xml:space="preserve">   иные группы вредителей
   леса:</t>
  </si>
  <si>
    <t>Площадь погибших и поврежденных лесных насаждений, га</t>
  </si>
  <si>
    <t>Общая площадь на конец отчетного периода нарастающим итогом, с учетом выявленных с начала года</t>
  </si>
  <si>
    <t>10,1-40%</t>
  </si>
  <si>
    <t>в том числе
в доступных участках
(гр. 4 + 6)</t>
  </si>
  <si>
    <t>в том числе
в доступных участках</t>
  </si>
  <si>
    <t>Выявлено с начала года</t>
  </si>
  <si>
    <t>из них от воздействия промышленных выбросов</t>
  </si>
  <si>
    <t>Санитарно-оздоровительные мероприятия, га</t>
  </si>
  <si>
    <t>Общая площадь
(гр. 14 + 15 + 16)</t>
  </si>
  <si>
    <t>Площадь сплошных санитарных рубок</t>
  </si>
  <si>
    <t>Площадь выборочных санитарных рубок</t>
  </si>
  <si>
    <t>Площадь уборки неликвидной древесины</t>
  </si>
  <si>
    <t>Иные меры санитарной безопасности в лесах</t>
  </si>
  <si>
    <t>Количество срубленных аварийных деревьев, шт.</t>
  </si>
  <si>
    <t>Площадь погибших лесных насаждений, га</t>
  </si>
  <si>
    <t>Раздел 3. Сведения о плотности загрязнения земель лесного фонда и выполненных в загрязненных радионуклидами зонах мероприятий по защите леса</t>
  </si>
  <si>
    <t>(наименование лесничества)</t>
  </si>
  <si>
    <t>Плотность загрязнения почвы цезием-137</t>
  </si>
  <si>
    <t>Плотность загрязнения почвы земель лесного фонда стронцием-90</t>
  </si>
  <si>
    <t>от 1 до 5 Ки/кв.км</t>
  </si>
  <si>
    <t>от 5 до 15 Ки/кв.км</t>
  </si>
  <si>
    <t>от 15 до 40 Ки/кв.км</t>
  </si>
  <si>
    <t>свыше 40 Ки/кв.км</t>
  </si>
  <si>
    <t>от 0,15 до 1 Ки/кв.км</t>
  </si>
  <si>
    <t>от 1 до 3 Ки/кв.км</t>
  </si>
  <si>
    <t>свыше 3 Ки/кв.км</t>
  </si>
  <si>
    <t>Площадь загрязненных радионуклидами земель</t>
  </si>
  <si>
    <t xml:space="preserve">  в том числе:
сплошная санитарная рубка
</t>
  </si>
  <si>
    <t>уборка неликвидной древесины</t>
  </si>
  <si>
    <t>Площадь используемых загрязненных радионуклидами земель, всего</t>
  </si>
  <si>
    <t>Итого (гр.2+гр.7)</t>
  </si>
  <si>
    <t>Площадь выполняемых санитарно-оздоровительных мероприятий</t>
  </si>
  <si>
    <t>Площадь мероприятий по ликвидации очагов вредных организмов</t>
  </si>
  <si>
    <t>Руководитель</t>
  </si>
  <si>
    <t>(фамилия, имя, отчество (при наличии)</t>
  </si>
  <si>
    <t>Должностное лицо, ответственное за составление формы</t>
  </si>
  <si>
    <t>(номер контактного телефона с указанием кода города)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</si>
  <si>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</si>
  <si>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2"/>
      </rPr>
      <t>)</t>
    </r>
  </si>
  <si>
    <t xml:space="preserve">       дубовая зеленая и другие
       листовертки</t>
  </si>
  <si>
    <t xml:space="preserve">   в том числе стволовые
   вредители:</t>
  </si>
  <si>
    <r>
      <t>Раздел 2. Сведения о повреждении и гибели лесов</t>
    </r>
    <r>
      <rPr>
        <b/>
        <sz val="12"/>
        <rFont val="Arial Cyr"/>
        <family val="0"/>
      </rPr>
      <t xml:space="preserve"> с усыханием более 10%</t>
    </r>
  </si>
  <si>
    <t>в том числе по степени повреждения лесных насаждений</t>
  </si>
  <si>
    <t>Всего
(гр. 3 + 5)</t>
  </si>
  <si>
    <t>Лесные пожары:</t>
  </si>
  <si>
    <t>в том числе от лесных пожаров текущего года</t>
  </si>
  <si>
    <t>Антропогенные факторы:</t>
  </si>
  <si>
    <t>гр.3&gt;=гр.4</t>
  </si>
  <si>
    <t>гр.7&gt;=гр.8</t>
  </si>
  <si>
    <t>гр.9&gt;=гр.10</t>
  </si>
  <si>
    <t>стр.60&gt;=стр.61</t>
  </si>
  <si>
    <t>гр.10</t>
  </si>
  <si>
    <t>гр.11</t>
  </si>
  <si>
    <t>гр.12</t>
  </si>
  <si>
    <t>гр.14</t>
  </si>
  <si>
    <t>гр.15</t>
  </si>
  <si>
    <t>гр.11&gt;=гр.12</t>
  </si>
  <si>
    <t>гр.16</t>
  </si>
  <si>
    <t>гр.17</t>
  </si>
  <si>
    <t>161002</t>
  </si>
  <si>
    <t>10-ОИП_Раздел 3</t>
  </si>
  <si>
    <t>адрес
назв.
УЛ
(r/c)</t>
  </si>
  <si>
    <t>адрес кода формы (r/c)</t>
  </si>
  <si>
    <t>гр.5&gt;=гр.6</t>
  </si>
  <si>
    <t>Субъект Российской Федерации</t>
  </si>
  <si>
    <t>Код стр.</t>
  </si>
  <si>
    <t>Центральный федеральный округ</t>
  </si>
  <si>
    <t>02</t>
  </si>
  <si>
    <t>Белгородская область</t>
  </si>
  <si>
    <t>027</t>
  </si>
  <si>
    <t>Брянская область</t>
  </si>
  <si>
    <t>009</t>
  </si>
  <si>
    <t>Владимирская область</t>
  </si>
  <si>
    <t>010</t>
  </si>
  <si>
    <t>Воронежская область</t>
  </si>
  <si>
    <t>028</t>
  </si>
  <si>
    <t>Ивановская область</t>
  </si>
  <si>
    <t>011</t>
  </si>
  <si>
    <t>Калужская область</t>
  </si>
  <si>
    <t>013</t>
  </si>
  <si>
    <t>Костромская область</t>
  </si>
  <si>
    <t>014</t>
  </si>
  <si>
    <t>Курская область</t>
  </si>
  <si>
    <t>029</t>
  </si>
  <si>
    <t>Липецкая область</t>
  </si>
  <si>
    <t>030</t>
  </si>
  <si>
    <t>Московская область</t>
  </si>
  <si>
    <t>016</t>
  </si>
  <si>
    <t>Орловская область</t>
  </si>
  <si>
    <t>017</t>
  </si>
  <si>
    <t>Рязанская область</t>
  </si>
  <si>
    <t>018</t>
  </si>
  <si>
    <t>Смоленская область</t>
  </si>
  <si>
    <t>019</t>
  </si>
  <si>
    <t>Тамбовская область</t>
  </si>
  <si>
    <t>031</t>
  </si>
  <si>
    <t>Тверская область</t>
  </si>
  <si>
    <t>012</t>
  </si>
  <si>
    <t>Тульская область</t>
  </si>
  <si>
    <t>020</t>
  </si>
  <si>
    <t>Ярославская область</t>
  </si>
  <si>
    <t>021</t>
  </si>
  <si>
    <t>Северо-Западный федеральный округ</t>
  </si>
  <si>
    <t>01</t>
  </si>
  <si>
    <t>Республика Карелия</t>
  </si>
  <si>
    <t>004</t>
  </si>
  <si>
    <t>Республика Коми</t>
  </si>
  <si>
    <t>005</t>
  </si>
  <si>
    <t>Архангельская область</t>
  </si>
  <si>
    <t>001</t>
  </si>
  <si>
    <t>Вологодская область</t>
  </si>
  <si>
    <t>002</t>
  </si>
  <si>
    <t>Калининградская область</t>
  </si>
  <si>
    <t>073</t>
  </si>
  <si>
    <t>Ленинградская область</t>
  </si>
  <si>
    <t>006</t>
  </si>
  <si>
    <t>Мурманская область</t>
  </si>
  <si>
    <t>003</t>
  </si>
  <si>
    <t>Новгородская область</t>
  </si>
  <si>
    <t>007</t>
  </si>
  <si>
    <t>Псковская область</t>
  </si>
  <si>
    <t>008</t>
  </si>
  <si>
    <t>Ненецкий АО</t>
  </si>
  <si>
    <t>199</t>
  </si>
  <si>
    <t>Южный федеральный округ</t>
  </si>
  <si>
    <t>04</t>
  </si>
  <si>
    <t>Республика Адыгея</t>
  </si>
  <si>
    <t>086</t>
  </si>
  <si>
    <t>Республика Калмыкия</t>
  </si>
  <si>
    <t>038</t>
  </si>
  <si>
    <t>Республика Крым</t>
  </si>
  <si>
    <t>100</t>
  </si>
  <si>
    <t>Краснодарский край</t>
  </si>
  <si>
    <t>040</t>
  </si>
  <si>
    <t>Астраханская область</t>
  </si>
  <si>
    <t>032</t>
  </si>
  <si>
    <t>Волгоградская область</t>
  </si>
  <si>
    <t>033</t>
  </si>
  <si>
    <t>Ростовская область</t>
  </si>
  <si>
    <t>042</t>
  </si>
  <si>
    <t>Город Севастополь</t>
  </si>
  <si>
    <t>103</t>
  </si>
  <si>
    <t>Северо-Кавказский федеральный округ</t>
  </si>
  <si>
    <t>08</t>
  </si>
  <si>
    <t>Республика Дагестан</t>
  </si>
  <si>
    <t>043</t>
  </si>
  <si>
    <t>Республика Ингушетия</t>
  </si>
  <si>
    <t>094</t>
  </si>
  <si>
    <t>Кабардино-Балкарская Республика</t>
  </si>
  <si>
    <t>044</t>
  </si>
  <si>
    <t>Карачаево-Черкесская Республика</t>
  </si>
  <si>
    <t>088</t>
  </si>
  <si>
    <t>Республика Северная Осетия - Алания</t>
  </si>
  <si>
    <t>045</t>
  </si>
  <si>
    <t>Чеченская Республика</t>
  </si>
  <si>
    <t>046</t>
  </si>
  <si>
    <t>Ставропольский край</t>
  </si>
  <si>
    <t>041</t>
  </si>
  <si>
    <t>Приволжский федеральный округ</t>
  </si>
  <si>
    <t>03</t>
  </si>
  <si>
    <t>Республика Башкортостан</t>
  </si>
  <si>
    <t>053</t>
  </si>
  <si>
    <t>Республика Марий Эл</t>
  </si>
  <si>
    <t>024</t>
  </si>
  <si>
    <t>Республика Мордовия</t>
  </si>
  <si>
    <t>025</t>
  </si>
  <si>
    <t>Республика Татарстан</t>
  </si>
  <si>
    <t>039</t>
  </si>
  <si>
    <t>Удмуртская Республика</t>
  </si>
  <si>
    <t>054</t>
  </si>
  <si>
    <t>Чувашская Республика</t>
  </si>
  <si>
    <t>026</t>
  </si>
  <si>
    <t>Пермский край</t>
  </si>
  <si>
    <t>050</t>
  </si>
  <si>
    <t>Кировская область</t>
  </si>
  <si>
    <t>023</t>
  </si>
  <si>
    <t>Нижегородская область</t>
  </si>
  <si>
    <t>022</t>
  </si>
  <si>
    <t>Оренбургская область</t>
  </si>
  <si>
    <t>048</t>
  </si>
  <si>
    <t>Пензенская область</t>
  </si>
  <si>
    <t>035</t>
  </si>
  <si>
    <t>Самарская область</t>
  </si>
  <si>
    <t>034</t>
  </si>
  <si>
    <t>Саратовская область</t>
  </si>
  <si>
    <t>036</t>
  </si>
  <si>
    <t>Ульяновская область</t>
  </si>
  <si>
    <t>037</t>
  </si>
  <si>
    <t>Уральский федеральный округ</t>
  </si>
  <si>
    <t>05</t>
  </si>
  <si>
    <t>Курганская область</t>
  </si>
  <si>
    <t>047</t>
  </si>
  <si>
    <t>Свердловская область</t>
  </si>
  <si>
    <t>051</t>
  </si>
  <si>
    <t>Тюменская область</t>
  </si>
  <si>
    <t>060</t>
  </si>
  <si>
    <t>Челябинская область</t>
  </si>
  <si>
    <t>052</t>
  </si>
  <si>
    <t>Ханты-Мансийский автономный округ - Югра</t>
  </si>
  <si>
    <t>093</t>
  </si>
  <si>
    <t>Ямало-Ненецкий автономный округ</t>
  </si>
  <si>
    <t>095</t>
  </si>
  <si>
    <t>Сибирский федеральный округ</t>
  </si>
  <si>
    <t>06</t>
  </si>
  <si>
    <t>Республика Алтай</t>
  </si>
  <si>
    <t>084</t>
  </si>
  <si>
    <t>Республика Тыва</t>
  </si>
  <si>
    <t>065</t>
  </si>
  <si>
    <t>Республика Хакасия</t>
  </si>
  <si>
    <t>085</t>
  </si>
  <si>
    <t>Алтайский край</t>
  </si>
  <si>
    <t>055</t>
  </si>
  <si>
    <t>Красноярский край</t>
  </si>
  <si>
    <t>061</t>
  </si>
  <si>
    <t>Иркутская область</t>
  </si>
  <si>
    <t>062</t>
  </si>
  <si>
    <t>Кемеровская область</t>
  </si>
  <si>
    <t>056</t>
  </si>
  <si>
    <t>Новосибирская область</t>
  </si>
  <si>
    <t>057</t>
  </si>
  <si>
    <t>Омская область</t>
  </si>
  <si>
    <t>058</t>
  </si>
  <si>
    <t>Томская область</t>
  </si>
  <si>
    <t>059</t>
  </si>
  <si>
    <t>Дальневосточный федеральный округ</t>
  </si>
  <si>
    <t>07</t>
  </si>
  <si>
    <t>Республика Бурятия</t>
  </si>
  <si>
    <t>064</t>
  </si>
  <si>
    <t>Республика Саха (Якутия)</t>
  </si>
  <si>
    <t>072</t>
  </si>
  <si>
    <t>Забайкальский край</t>
  </si>
  <si>
    <t>063</t>
  </si>
  <si>
    <t>Камчатский край</t>
  </si>
  <si>
    <t>069</t>
  </si>
  <si>
    <t>Приморский край</t>
  </si>
  <si>
    <t>066</t>
  </si>
  <si>
    <t>Хабаровский край</t>
  </si>
  <si>
    <t>067</t>
  </si>
  <si>
    <t>Амурская область</t>
  </si>
  <si>
    <t>068</t>
  </si>
  <si>
    <t>Магаданская область</t>
  </si>
  <si>
    <t>070</t>
  </si>
  <si>
    <t>Сахалинская область</t>
  </si>
  <si>
    <t>071</t>
  </si>
  <si>
    <t>Еврейская автономная область</t>
  </si>
  <si>
    <t>096</t>
  </si>
  <si>
    <t>Чукотский автономный округ</t>
  </si>
  <si>
    <t>089</t>
  </si>
  <si>
    <t xml:space="preserve">Сведения об очагах вредителей и болезней леса на конец отчетного периода из отчет 10-ОИП за предшествующий год </t>
  </si>
  <si>
    <t>сибирский шелкопряд</t>
  </si>
  <si>
    <t>сосновый шелкопряд</t>
  </si>
  <si>
    <t>шелкопряд монашенка</t>
  </si>
  <si>
    <t>сосновая пяденица</t>
  </si>
  <si>
    <t>сосновая совка</t>
  </si>
  <si>
    <t>рыжий сосновый пилильщик</t>
  </si>
  <si>
    <t>другие</t>
  </si>
  <si>
    <t>непарный шелкопряд</t>
  </si>
  <si>
    <t>зимняя пяденица</t>
  </si>
  <si>
    <t>златогузка</t>
  </si>
  <si>
    <t>хрущи</t>
  </si>
  <si>
    <t>сосновый подкорный клоп</t>
  </si>
  <si>
    <t>00</t>
  </si>
  <si>
    <t>Всего по Рослесхозу</t>
  </si>
  <si>
    <t>обыкновенный сосновый пилильщик</t>
  </si>
  <si>
    <t>красноголовый пилильщик - ткач</t>
  </si>
  <si>
    <t>звездчатый пилильщик - ткач</t>
  </si>
  <si>
    <t>еловый обыкновенный пилильщик</t>
  </si>
  <si>
    <t>американская белая бабочка</t>
  </si>
  <si>
    <t>дубовая зеленая и другие листовертки</t>
  </si>
  <si>
    <t>другие виды стволовых вредителей</t>
  </si>
  <si>
    <t>в т.ч. корневая губка</t>
  </si>
  <si>
    <t>в т.ч. другие</t>
  </si>
  <si>
    <t>в том числе короед-типограф</t>
  </si>
  <si>
    <t>в том числе стволовые вредители:</t>
  </si>
  <si>
    <t xml:space="preserve">выборочная санитарная рубка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</si>
</sst>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[Red]\-#,##0.0\ "/>
    <numFmt numFmtId="175" formatCode="#,##0_ ;[Red]\-#,##0\ "/>
    <numFmt numFmtId="176" formatCode="_(* #,##0_);_(* \(#,##0\);_(* &quot;-&quot;_);_(@_)"/>
    <numFmt numFmtId="177" formatCode="_(* #,##0.00_);_(* \(#,##0.00\);_(* &quot;-&quot;??_);_(@_)"/>
    <numFmt numFmtId="178" formatCode="#,##0.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strike/>
      <sz val="9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strike/>
      <sz val="11"/>
      <color indexed="10"/>
      <name val="Calibri"/>
      <family val="2"/>
    </font>
    <font>
      <strike/>
      <sz val="10"/>
      <color indexed="10"/>
      <name val="Arial Cyr"/>
      <family val="2"/>
    </font>
    <font>
      <strike/>
      <sz val="9"/>
      <color indexed="10"/>
      <name val="Arial Cyr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18"/>
      <name val="Arial Cyr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Calibri"/>
      <family val="2"/>
    </font>
    <font>
      <strike/>
      <sz val="10"/>
      <color rgb="FFFF0000"/>
      <name val="Arial Cyr"/>
      <family val="2"/>
    </font>
    <font>
      <strike/>
      <sz val="9"/>
      <color rgb="FFFF0000"/>
      <name val="Arial Cyr"/>
      <family val="2"/>
    </font>
    <font>
      <b/>
      <sz val="11"/>
      <color rgb="FF000000"/>
      <name val="Arial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sz val="10"/>
      <color rgb="FFFF0000"/>
      <name val="Arial Cyr"/>
      <family val="0"/>
    </font>
    <font>
      <sz val="8"/>
      <color theme="1"/>
      <name val="Calibri"/>
      <family val="2"/>
    </font>
    <font>
      <sz val="9"/>
      <color rgb="FF000000"/>
      <name val="Times New Roman"/>
      <family val="1"/>
    </font>
    <font>
      <b/>
      <sz val="12"/>
      <color rgb="FF000099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8" fillId="19" borderId="0" applyNumberFormat="0" applyBorder="0" applyAlignment="0" applyProtection="0"/>
    <xf numFmtId="0" fontId="27" fillId="20" borderId="0" applyNumberFormat="0" applyBorder="0" applyAlignment="0" applyProtection="0"/>
    <xf numFmtId="0" fontId="68" fillId="21" borderId="0" applyNumberFormat="0" applyBorder="0" applyAlignment="0" applyProtection="0"/>
    <xf numFmtId="0" fontId="27" fillId="13" borderId="0" applyNumberFormat="0" applyBorder="0" applyAlignment="0" applyProtection="0"/>
    <xf numFmtId="0" fontId="68" fillId="14" borderId="0" applyNumberFormat="0" applyBorder="0" applyAlignment="0" applyProtection="0"/>
    <xf numFmtId="0" fontId="27" fillId="14" borderId="0" applyNumberFormat="0" applyBorder="0" applyAlignment="0" applyProtection="0"/>
    <xf numFmtId="0" fontId="68" fillId="22" borderId="0" applyNumberFormat="0" applyBorder="0" applyAlignment="0" applyProtection="0"/>
    <xf numFmtId="0" fontId="27" fillId="22" borderId="0" applyNumberFormat="0" applyBorder="0" applyAlignment="0" applyProtection="0"/>
    <xf numFmtId="0" fontId="68" fillId="23" borderId="0" applyNumberFormat="0" applyBorder="0" applyAlignment="0" applyProtection="0"/>
    <xf numFmtId="0" fontId="27" fillId="24" borderId="0" applyNumberFormat="0" applyBorder="0" applyAlignment="0" applyProtection="0"/>
    <xf numFmtId="0" fontId="68" fillId="25" borderId="0" applyNumberFormat="0" applyBorder="0" applyAlignment="0" applyProtection="0"/>
    <xf numFmtId="0" fontId="27" fillId="25" borderId="0" applyNumberFormat="0" applyBorder="0" applyAlignment="0" applyProtection="0"/>
    <xf numFmtId="0" fontId="68" fillId="26" borderId="0" applyNumberFormat="0" applyBorder="0" applyAlignment="0" applyProtection="0"/>
    <xf numFmtId="0" fontId="27" fillId="27" borderId="0" applyNumberFormat="0" applyBorder="0" applyAlignment="0" applyProtection="0"/>
    <xf numFmtId="0" fontId="68" fillId="28" borderId="0" applyNumberFormat="0" applyBorder="0" applyAlignment="0" applyProtection="0"/>
    <xf numFmtId="0" fontId="27" fillId="29" borderId="0" applyNumberFormat="0" applyBorder="0" applyAlignment="0" applyProtection="0"/>
    <xf numFmtId="0" fontId="68" fillId="30" borderId="0" applyNumberFormat="0" applyBorder="0" applyAlignment="0" applyProtection="0"/>
    <xf numFmtId="0" fontId="27" fillId="31" borderId="0" applyNumberFormat="0" applyBorder="0" applyAlignment="0" applyProtection="0"/>
    <xf numFmtId="0" fontId="68" fillId="32" borderId="0" applyNumberFormat="0" applyBorder="0" applyAlignment="0" applyProtection="0"/>
    <xf numFmtId="0" fontId="27" fillId="22" borderId="0" applyNumberFormat="0" applyBorder="0" applyAlignment="0" applyProtection="0"/>
    <xf numFmtId="0" fontId="68" fillId="33" borderId="0" applyNumberFormat="0" applyBorder="0" applyAlignment="0" applyProtection="0"/>
    <xf numFmtId="0" fontId="27" fillId="24" borderId="0" applyNumberFormat="0" applyBorder="0" applyAlignment="0" applyProtection="0"/>
    <xf numFmtId="0" fontId="68" fillId="34" borderId="0" applyNumberFormat="0" applyBorder="0" applyAlignment="0" applyProtection="0"/>
    <xf numFmtId="0" fontId="27" fillId="35" borderId="0" applyNumberFormat="0" applyBorder="0" applyAlignment="0" applyProtection="0"/>
    <xf numFmtId="0" fontId="69" fillId="36" borderId="1" applyNumberFormat="0" applyAlignment="0" applyProtection="0"/>
    <xf numFmtId="0" fontId="28" fillId="9" borderId="2" applyNumberFormat="0" applyAlignment="0" applyProtection="0"/>
    <xf numFmtId="0" fontId="70" fillId="37" borderId="3" applyNumberFormat="0" applyAlignment="0" applyProtection="0"/>
    <xf numFmtId="0" fontId="29" fillId="38" borderId="4" applyNumberFormat="0" applyAlignment="0" applyProtection="0"/>
    <xf numFmtId="0" fontId="71" fillId="37" borderId="1" applyNumberFormat="0" applyAlignment="0" applyProtection="0"/>
    <xf numFmtId="0" fontId="30" fillId="38" borderId="2" applyNumberFormat="0" applyAlignment="0" applyProtection="0"/>
    <xf numFmtId="0" fontId="7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3" fillId="0" borderId="5" applyNumberFormat="0" applyFill="0" applyAlignment="0" applyProtection="0"/>
    <xf numFmtId="0" fontId="31" fillId="0" borderId="6" applyNumberFormat="0" applyFill="0" applyAlignment="0" applyProtection="0"/>
    <xf numFmtId="0" fontId="74" fillId="0" borderId="7" applyNumberFormat="0" applyFill="0" applyAlignment="0" applyProtection="0"/>
    <xf numFmtId="0" fontId="32" fillId="0" borderId="8" applyNumberFormat="0" applyFill="0" applyAlignment="0" applyProtection="0"/>
    <xf numFmtId="0" fontId="75" fillId="0" borderId="9" applyNumberFormat="0" applyFill="0" applyAlignment="0" applyProtection="0"/>
    <xf numFmtId="0" fontId="33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34" fillId="0" borderId="12" applyNumberFormat="0" applyFill="0" applyAlignment="0" applyProtection="0"/>
    <xf numFmtId="0" fontId="77" fillId="39" borderId="13" applyNumberFormat="0" applyAlignment="0" applyProtection="0"/>
    <xf numFmtId="0" fontId="35" fillId="40" borderId="14" applyNumberFormat="0" applyAlignment="0" applyProtection="0"/>
    <xf numFmtId="0" fontId="7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9" fillId="41" borderId="0" applyNumberFormat="0" applyBorder="0" applyAlignment="0" applyProtection="0"/>
    <xf numFmtId="0" fontId="37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1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38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84" fillId="0" borderId="17" applyNumberFormat="0" applyFill="0" applyAlignment="0" applyProtection="0"/>
    <xf numFmtId="0" fontId="40" fillId="0" borderId="18" applyNumberFormat="0" applyFill="0" applyAlignment="0" applyProtection="0"/>
    <xf numFmtId="0" fontId="8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6" fillId="46" borderId="0" applyNumberFormat="0" applyBorder="0" applyAlignment="0" applyProtection="0"/>
    <xf numFmtId="0" fontId="42" fillId="4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4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4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175" fontId="2" fillId="0" borderId="0" xfId="90" applyNumberFormat="1" applyBorder="1" applyAlignment="1" applyProtection="1">
      <alignment horizontal="center" wrapText="1"/>
      <protection locked="0"/>
    </xf>
    <xf numFmtId="175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4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7" fillId="0" borderId="0" xfId="90" applyFont="1" applyFill="1" applyBorder="1">
      <alignment/>
      <protection/>
    </xf>
    <xf numFmtId="0" fontId="18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6" fillId="0" borderId="19" xfId="90" applyFont="1" applyBorder="1" applyAlignment="1" applyProtection="1">
      <alignment horizontal="center" vertical="center" wrapText="1"/>
      <protection/>
    </xf>
    <xf numFmtId="0" fontId="2" fillId="0" borderId="20" xfId="90" applyFont="1" applyFill="1" applyBorder="1" applyAlignment="1">
      <alignment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49" fontId="16" fillId="0" borderId="0" xfId="107" applyNumberFormat="1" applyFont="1">
      <alignment/>
      <protection/>
    </xf>
    <xf numFmtId="0" fontId="22" fillId="0" borderId="0" xfId="107" applyFont="1" applyAlignment="1">
      <alignment horizontal="center"/>
      <protection/>
    </xf>
    <xf numFmtId="0" fontId="16" fillId="0" borderId="0" xfId="107" applyFont="1">
      <alignment/>
      <protection/>
    </xf>
    <xf numFmtId="0" fontId="23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5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5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6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1" fillId="0" borderId="19" xfId="90" applyNumberFormat="1" applyFont="1" applyBorder="1" applyAlignment="1">
      <alignment horizontal="center"/>
      <protection/>
    </xf>
    <xf numFmtId="0" fontId="25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5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/>
    </xf>
    <xf numFmtId="49" fontId="25" fillId="0" borderId="0" xfId="92" applyNumberFormat="1" applyFont="1" applyFill="1" applyAlignment="1">
      <alignment vertical="top"/>
      <protection/>
    </xf>
    <xf numFmtId="0" fontId="43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87" fillId="0" borderId="0" xfId="92" applyFont="1" applyFill="1" applyBorder="1" applyAlignment="1">
      <alignment horizontal="center"/>
      <protection/>
    </xf>
    <xf numFmtId="0" fontId="87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7" fillId="0" borderId="0" xfId="92" applyFont="1" applyFill="1" applyAlignment="1">
      <alignment horizontal="left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4" fontId="15" fillId="4" borderId="19" xfId="90" applyNumberFormat="1" applyFont="1" applyFill="1" applyBorder="1" applyAlignment="1" applyProtection="1">
      <alignment/>
      <protection/>
    </xf>
    <xf numFmtId="174" fontId="5" fillId="0" borderId="19" xfId="90" applyNumberFormat="1" applyFont="1" applyFill="1" applyBorder="1" applyAlignment="1" applyProtection="1">
      <alignment/>
      <protection locked="0"/>
    </xf>
    <xf numFmtId="174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0" fontId="88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6" fillId="0" borderId="0" xfId="92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89" fillId="47" borderId="0" xfId="0" applyFont="1" applyFill="1" applyBorder="1" applyAlignment="1">
      <alignment horizontal="center" wrapText="1"/>
    </xf>
    <xf numFmtId="0" fontId="90" fillId="47" borderId="0" xfId="0" applyFont="1" applyFill="1" applyBorder="1" applyAlignment="1">
      <alignment horizontal="right" wrapText="1"/>
    </xf>
    <xf numFmtId="0" fontId="90" fillId="47" borderId="19" xfId="0" applyFont="1" applyFill="1" applyBorder="1" applyAlignment="1">
      <alignment horizontal="center" vertical="top" wrapText="1"/>
    </xf>
    <xf numFmtId="0" fontId="90" fillId="47" borderId="19" xfId="92" applyFont="1" applyFill="1" applyBorder="1" applyAlignment="1">
      <alignment horizontal="center" vertical="center" wrapText="1"/>
      <protection/>
    </xf>
    <xf numFmtId="49" fontId="91" fillId="47" borderId="19" xfId="92" applyNumberFormat="1" applyFont="1" applyFill="1" applyBorder="1" applyAlignment="1" applyProtection="1">
      <alignment horizontal="left" vertical="top" wrapText="1"/>
      <protection/>
    </xf>
    <xf numFmtId="49" fontId="91" fillId="47" borderId="19" xfId="92" applyNumberFormat="1" applyFont="1" applyFill="1" applyBorder="1" applyAlignment="1" applyProtection="1">
      <alignment horizontal="center" wrapText="1"/>
      <protection/>
    </xf>
    <xf numFmtId="49" fontId="91" fillId="47" borderId="19" xfId="92" applyNumberFormat="1" applyFont="1" applyFill="1" applyBorder="1" applyAlignment="1" applyProtection="1">
      <alignment horizontal="left" vertical="top" wrapText="1" indent="1"/>
      <protection/>
    </xf>
    <xf numFmtId="49" fontId="91" fillId="47" borderId="19" xfId="9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90" applyFont="1" applyFill="1" applyAlignment="1">
      <alignment horizontal="center"/>
      <protection/>
    </xf>
    <xf numFmtId="0" fontId="2" fillId="0" borderId="0" xfId="90" applyFill="1">
      <alignment/>
      <protection/>
    </xf>
    <xf numFmtId="0" fontId="8" fillId="0" borderId="20" xfId="90" applyFont="1" applyFill="1" applyBorder="1" applyAlignment="1">
      <alignment horizontal="right"/>
      <protection/>
    </xf>
    <xf numFmtId="0" fontId="8" fillId="0" borderId="20" xfId="90" applyFont="1" applyFill="1" applyBorder="1" applyAlignment="1" applyProtection="1">
      <alignment horizontal="center"/>
      <protection/>
    </xf>
    <xf numFmtId="0" fontId="8" fillId="0" borderId="0" xfId="90" applyFont="1" applyFill="1" applyBorder="1" applyAlignment="1" applyProtection="1">
      <alignment horizontal="center"/>
      <protection/>
    </xf>
    <xf numFmtId="0" fontId="10" fillId="0" borderId="0" xfId="90" applyFont="1" applyFill="1">
      <alignment/>
      <protection/>
    </xf>
    <xf numFmtId="0" fontId="5" fillId="0" borderId="0" xfId="90" applyFont="1" applyFill="1" applyBorder="1" applyAlignment="1" applyProtection="1">
      <alignment vertical="top" wrapText="1"/>
      <protection/>
    </xf>
    <xf numFmtId="0" fontId="20" fillId="0" borderId="0" xfId="90" applyNumberFormat="1" applyFont="1" applyFill="1" applyBorder="1" applyAlignment="1" applyProtection="1">
      <alignment wrapText="1"/>
      <protection/>
    </xf>
    <xf numFmtId="0" fontId="92" fillId="0" borderId="0" xfId="92" applyFont="1" applyFill="1">
      <alignment/>
      <protection/>
    </xf>
    <xf numFmtId="0" fontId="92" fillId="0" borderId="0" xfId="90" applyFont="1">
      <alignment/>
      <protection/>
    </xf>
    <xf numFmtId="0" fontId="93" fillId="0" borderId="0" xfId="0" applyFont="1" applyAlignment="1">
      <alignment/>
    </xf>
    <xf numFmtId="49" fontId="92" fillId="0" borderId="0" xfId="90" applyNumberFormat="1" applyFont="1" applyBorder="1" applyAlignment="1">
      <alignment horizontal="center" wrapText="1"/>
      <protection/>
    </xf>
    <xf numFmtId="0" fontId="94" fillId="0" borderId="0" xfId="90" applyFont="1" applyBorder="1" applyAlignment="1">
      <alignment horizontal="center" wrapText="1"/>
      <protection/>
    </xf>
    <xf numFmtId="0" fontId="94" fillId="0" borderId="0" xfId="90" applyFont="1" applyFill="1" applyBorder="1" applyAlignment="1">
      <alignment horizontal="center" wrapText="1"/>
      <protection/>
    </xf>
    <xf numFmtId="0" fontId="95" fillId="0" borderId="0" xfId="90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96" fillId="48" borderId="0" xfId="90" applyFont="1" applyFill="1" applyBorder="1" applyAlignment="1">
      <alignment horizontal="right"/>
      <protection/>
    </xf>
    <xf numFmtId="0" fontId="8" fillId="48" borderId="20" xfId="90" applyFont="1" applyFill="1" applyBorder="1" applyAlignment="1">
      <alignment horizontal="right"/>
      <protection/>
    </xf>
    <xf numFmtId="0" fontId="8" fillId="48" borderId="20" xfId="90" applyFont="1" applyFill="1" applyBorder="1" applyAlignment="1" applyProtection="1">
      <alignment horizontal="center"/>
      <protection/>
    </xf>
    <xf numFmtId="0" fontId="6" fillId="48" borderId="20" xfId="90" applyNumberFormat="1" applyFont="1" applyFill="1" applyBorder="1" applyAlignment="1" applyProtection="1">
      <alignment horizontal="center" wrapText="1"/>
      <protection/>
    </xf>
    <xf numFmtId="0" fontId="6" fillId="48" borderId="0" xfId="90" applyFont="1" applyFill="1" applyBorder="1" applyAlignment="1">
      <alignment horizontal="left" wrapText="1"/>
      <protection/>
    </xf>
    <xf numFmtId="0" fontId="97" fillId="48" borderId="0" xfId="90" applyNumberFormat="1" applyFont="1" applyFill="1" applyBorder="1" applyAlignment="1" applyProtection="1">
      <alignment horizontal="center" wrapText="1"/>
      <protection/>
    </xf>
    <xf numFmtId="0" fontId="98" fillId="48" borderId="0" xfId="0" applyFont="1" applyFill="1" applyBorder="1" applyAlignment="1">
      <alignment/>
    </xf>
    <xf numFmtId="0" fontId="97" fillId="48" borderId="0" xfId="90" applyFont="1" applyFill="1" applyBorder="1" applyAlignment="1">
      <alignment horizontal="left" wrapText="1"/>
      <protection/>
    </xf>
    <xf numFmtId="0" fontId="99" fillId="48" borderId="0" xfId="92" applyFont="1" applyFill="1" applyBorder="1" applyAlignment="1">
      <alignment horizontal="center" vertical="top" wrapText="1"/>
      <protection/>
    </xf>
    <xf numFmtId="0" fontId="0" fillId="48" borderId="0" xfId="0" applyFill="1" applyAlignment="1">
      <alignment/>
    </xf>
    <xf numFmtId="0" fontId="2" fillId="48" borderId="20" xfId="92" applyFont="1" applyFill="1" applyBorder="1" applyAlignment="1" applyProtection="1">
      <alignment horizontal="center"/>
      <protection/>
    </xf>
    <xf numFmtId="49" fontId="7" fillId="48" borderId="23" xfId="92" applyNumberFormat="1" applyFont="1" applyFill="1" applyBorder="1" applyAlignment="1" applyProtection="1">
      <alignment horizontal="center" vertical="top"/>
      <protection/>
    </xf>
    <xf numFmtId="0" fontId="2" fillId="48" borderId="20" xfId="92" applyFont="1" applyFill="1" applyBorder="1" applyAlignment="1" applyProtection="1">
      <alignment horizontal="center" vertical="center" wrapText="1"/>
      <protection/>
    </xf>
    <xf numFmtId="49" fontId="7" fillId="48" borderId="0" xfId="92" applyNumberFormat="1" applyFont="1" applyFill="1" applyBorder="1" applyAlignment="1" applyProtection="1">
      <alignment/>
      <protection/>
    </xf>
    <xf numFmtId="174" fontId="15" fillId="4" borderId="19" xfId="90" applyNumberFormat="1" applyFont="1" applyFill="1" applyBorder="1" applyAlignment="1" applyProtection="1">
      <alignment/>
      <protection/>
    </xf>
    <xf numFmtId="174" fontId="5" fillId="4" borderId="19" xfId="90" applyNumberFormat="1" applyFont="1" applyFill="1" applyBorder="1" applyAlignment="1" applyProtection="1">
      <alignment/>
      <protection/>
    </xf>
    <xf numFmtId="174" fontId="5" fillId="0" borderId="19" xfId="90" applyNumberFormat="1" applyFont="1" applyBorder="1" applyAlignment="1" applyProtection="1">
      <alignment/>
      <protection locked="0"/>
    </xf>
    <xf numFmtId="178" fontId="15" fillId="4" borderId="19" xfId="90" applyNumberFormat="1" applyFont="1" applyFill="1" applyBorder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0" fontId="2" fillId="48" borderId="0" xfId="92" applyFont="1" applyFill="1" applyAlignment="1" applyProtection="1">
      <alignment horizontal="left"/>
      <protection/>
    </xf>
    <xf numFmtId="0" fontId="2" fillId="48" borderId="0" xfId="92" applyFont="1" applyFill="1" applyProtection="1">
      <alignment/>
      <protection/>
    </xf>
    <xf numFmtId="0" fontId="2" fillId="48" borderId="0" xfId="92" applyFont="1" applyFill="1" applyBorder="1" applyAlignment="1" applyProtection="1">
      <alignment/>
      <protection/>
    </xf>
    <xf numFmtId="0" fontId="2" fillId="48" borderId="0" xfId="92" applyFont="1" applyFill="1" applyBorder="1" applyAlignment="1" applyProtection="1">
      <alignment horizontal="left" vertical="center" wrapText="1"/>
      <protection/>
    </xf>
    <xf numFmtId="0" fontId="7" fillId="48" borderId="23" xfId="92" applyFont="1" applyFill="1" applyBorder="1" applyAlignment="1" applyProtection="1">
      <alignment horizontal="center" vertical="top"/>
      <protection/>
    </xf>
    <xf numFmtId="0" fontId="2" fillId="48" borderId="0" xfId="92" applyFont="1" applyFill="1" applyBorder="1" applyAlignment="1" applyProtection="1">
      <alignment horizontal="center"/>
      <protection/>
    </xf>
    <xf numFmtId="0" fontId="7" fillId="48" borderId="0" xfId="92" applyFont="1" applyFill="1" applyProtection="1">
      <alignment/>
      <protection/>
    </xf>
    <xf numFmtId="0" fontId="100" fillId="48" borderId="0" xfId="0" applyFont="1" applyFill="1" applyAlignment="1" applyProtection="1">
      <alignment/>
      <protection/>
    </xf>
    <xf numFmtId="0" fontId="13" fillId="0" borderId="0" xfId="107" applyFont="1" applyAlignment="1">
      <alignment horizontal="center" wrapText="1"/>
      <protection/>
    </xf>
    <xf numFmtId="0" fontId="2" fillId="0" borderId="0" xfId="90" applyFont="1">
      <alignment/>
      <protection/>
    </xf>
    <xf numFmtId="0" fontId="8" fillId="0" borderId="0" xfId="90" applyFont="1" applyFill="1" applyBorder="1" applyAlignment="1">
      <alignment horizontal="right"/>
      <protection/>
    </xf>
    <xf numFmtId="0" fontId="8" fillId="0" borderId="20" xfId="92" applyFont="1" applyFill="1" applyBorder="1" applyAlignment="1" applyProtection="1">
      <alignment horizontal="center"/>
      <protection locked="0"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2" fillId="0" borderId="0" xfId="90" applyFont="1" applyFill="1">
      <alignment/>
      <protection/>
    </xf>
    <xf numFmtId="0" fontId="2" fillId="0" borderId="19" xfId="0" applyFont="1" applyFill="1" applyBorder="1" applyAlignment="1">
      <alignment wrapText="1"/>
    </xf>
    <xf numFmtId="0" fontId="5" fillId="0" borderId="0" xfId="92" applyFont="1" applyFill="1" applyBorder="1" applyAlignment="1">
      <alignment vertical="top" wrapText="1"/>
      <protection/>
    </xf>
    <xf numFmtId="0" fontId="45" fillId="0" borderId="0" xfId="92" applyFont="1" applyFill="1" applyBorder="1" applyAlignment="1">
      <alignment vertical="center" wrapText="1"/>
      <protection/>
    </xf>
    <xf numFmtId="0" fontId="45" fillId="0" borderId="0" xfId="92" applyFont="1" applyFill="1" applyBorder="1" applyAlignment="1">
      <alignment horizontal="center" vertical="top" wrapText="1"/>
      <protection/>
    </xf>
    <xf numFmtId="49" fontId="45" fillId="0" borderId="0" xfId="92" applyNumberFormat="1" applyFont="1" applyFill="1" applyBorder="1" applyAlignment="1">
      <alignment horizontal="left" wrapText="1"/>
      <protection/>
    </xf>
    <xf numFmtId="0" fontId="46" fillId="0" borderId="0" xfId="92" applyFont="1" applyFill="1" applyBorder="1" applyAlignment="1">
      <alignment wrapText="1"/>
      <protection/>
    </xf>
    <xf numFmtId="49" fontId="46" fillId="0" borderId="0" xfId="92" applyNumberFormat="1" applyFont="1" applyFill="1" applyBorder="1" applyAlignment="1" applyProtection="1">
      <alignment wrapText="1"/>
      <protection locked="0"/>
    </xf>
    <xf numFmtId="0" fontId="45" fillId="0" borderId="0" xfId="92" applyFont="1" applyFill="1" applyBorder="1" applyAlignment="1">
      <alignment vertical="top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49" fontId="21" fillId="0" borderId="0" xfId="90" applyNumberFormat="1" applyFont="1" applyBorder="1" applyAlignment="1">
      <alignment horizontal="center"/>
      <protection/>
    </xf>
    <xf numFmtId="0" fontId="13" fillId="0" borderId="0" xfId="107" applyFont="1" applyAlignment="1">
      <alignment horizontal="center" wrapText="1"/>
      <protection/>
    </xf>
    <xf numFmtId="0" fontId="13" fillId="0" borderId="0" xfId="107" applyFont="1" applyAlignment="1">
      <alignment horizontal="center"/>
      <protection/>
    </xf>
    <xf numFmtId="0" fontId="13" fillId="0" borderId="0" xfId="107" applyFont="1" applyAlignment="1">
      <alignment horizontal="center"/>
      <protection/>
    </xf>
    <xf numFmtId="0" fontId="0" fillId="0" borderId="0" xfId="0" applyAlignment="1">
      <alignment wrapText="1"/>
    </xf>
    <xf numFmtId="0" fontId="2" fillId="0" borderId="19" xfId="0" applyFont="1" applyFill="1" applyBorder="1" applyAlignment="1">
      <alignment horizontal="left" wrapText="1" indent="2"/>
    </xf>
    <xf numFmtId="178" fontId="15" fillId="4" borderId="19" xfId="90" applyNumberFormat="1" applyFont="1" applyFill="1" applyBorder="1" applyAlignment="1" applyProtection="1">
      <alignment/>
      <protection locked="0"/>
    </xf>
    <xf numFmtId="178" fontId="91" fillId="47" borderId="19" xfId="92" applyNumberFormat="1" applyFont="1" applyFill="1" applyBorder="1" applyAlignment="1" applyProtection="1">
      <alignment wrapText="1"/>
      <protection locked="0"/>
    </xf>
    <xf numFmtId="178" fontId="101" fillId="47" borderId="19" xfId="0" applyNumberFormat="1" applyFont="1" applyFill="1" applyBorder="1" applyAlignment="1" applyProtection="1">
      <alignment wrapText="1"/>
      <protection locked="0"/>
    </xf>
    <xf numFmtId="0" fontId="48" fillId="0" borderId="19" xfId="92" applyFont="1" applyFill="1" applyBorder="1" applyAlignment="1">
      <alignment horizontal="center" vertical="center"/>
      <protection/>
    </xf>
    <xf numFmtId="0" fontId="48" fillId="0" borderId="19" xfId="92" applyFont="1" applyFill="1" applyBorder="1" applyAlignment="1">
      <alignment horizontal="center" vertical="center" wrapText="1"/>
      <protection/>
    </xf>
    <xf numFmtId="0" fontId="49" fillId="49" borderId="19" xfId="92" applyFont="1" applyFill="1" applyBorder="1" applyAlignment="1">
      <alignment horizontal="left" vertical="top" wrapText="1"/>
      <protection/>
    </xf>
    <xf numFmtId="0" fontId="49" fillId="49" borderId="19" xfId="92" applyFont="1" applyFill="1" applyBorder="1" applyAlignment="1">
      <alignment horizontal="center" vertical="top" wrapText="1"/>
      <protection/>
    </xf>
    <xf numFmtId="0" fontId="48" fillId="0" borderId="19" xfId="92" applyFont="1" applyBorder="1" applyAlignment="1">
      <alignment horizontal="left" vertical="top" wrapText="1" indent="1"/>
      <protection/>
    </xf>
    <xf numFmtId="0" fontId="48" fillId="0" borderId="19" xfId="92" applyFont="1" applyBorder="1" applyAlignment="1">
      <alignment horizontal="center" vertical="top" wrapText="1"/>
      <protection/>
    </xf>
    <xf numFmtId="0" fontId="48" fillId="0" borderId="19" xfId="92" applyFont="1" applyFill="1" applyBorder="1" applyAlignment="1">
      <alignment horizontal="left" vertical="top" wrapText="1" indent="1"/>
      <protection/>
    </xf>
    <xf numFmtId="49" fontId="48" fillId="0" borderId="19" xfId="9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center" wrapText="1"/>
    </xf>
    <xf numFmtId="4" fontId="49" fillId="49" borderId="19" xfId="92" applyNumberFormat="1" applyFont="1" applyFill="1" applyBorder="1" applyAlignment="1">
      <alignment horizontal="center" vertical="center" wrapText="1"/>
      <protection/>
    </xf>
    <xf numFmtId="4" fontId="48" fillId="0" borderId="19" xfId="92" applyNumberFormat="1" applyFont="1" applyBorder="1" applyAlignment="1">
      <alignment horizontal="center" vertical="center" wrapText="1"/>
      <protection/>
    </xf>
    <xf numFmtId="4" fontId="48" fillId="0" borderId="19" xfId="92" applyNumberFormat="1" applyFont="1" applyFill="1" applyBorder="1" applyAlignment="1">
      <alignment horizontal="center" vertical="center" wrapText="1"/>
      <protection/>
    </xf>
    <xf numFmtId="174" fontId="5" fillId="44" borderId="19" xfId="90" applyNumberFormat="1" applyFont="1" applyFill="1" applyBorder="1" applyAlignment="1" applyProtection="1">
      <alignment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2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2" applyFont="1" applyFill="1" applyBorder="1" applyAlignment="1">
      <alignment horizontal="center" vertical="top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47" borderId="19" xfId="92" applyFont="1" applyFill="1" applyBorder="1" applyAlignment="1">
      <alignment horizontal="center" vertical="top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102" fillId="0" borderId="20" xfId="90" applyNumberFormat="1" applyFont="1" applyFill="1" applyBorder="1" applyAlignment="1" applyProtection="1">
      <alignment horizontal="center" wrapText="1"/>
      <protection/>
    </xf>
    <xf numFmtId="0" fontId="26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50" fillId="0" borderId="0" xfId="92" applyFont="1" applyBorder="1" applyAlignment="1">
      <alignment horizontal="center" vertical="center" wrapText="1"/>
      <protection/>
    </xf>
    <xf numFmtId="0" fontId="26" fillId="0" borderId="24" xfId="92" applyFont="1" applyFill="1" applyBorder="1" applyAlignment="1">
      <alignment horizontal="center" vertical="center" wrapText="1"/>
      <protection/>
    </xf>
    <xf numFmtId="0" fontId="26" fillId="0" borderId="25" xfId="92" applyFont="1" applyFill="1" applyBorder="1" applyAlignment="1">
      <alignment horizontal="center" vertical="center" wrapText="1"/>
      <protection/>
    </xf>
    <xf numFmtId="0" fontId="26" fillId="0" borderId="26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49" fontId="5" fillId="0" borderId="21" xfId="92" applyNumberFormat="1" applyFont="1" applyFill="1" applyBorder="1" applyAlignment="1">
      <alignment horizontal="center" vertical="center" wrapText="1"/>
      <protection/>
    </xf>
    <xf numFmtId="49" fontId="5" fillId="0" borderId="22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5" fillId="0" borderId="23" xfId="90" applyFont="1" applyFill="1" applyBorder="1" applyAlignment="1" applyProtection="1">
      <alignment horizontal="center" vertical="top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0" xfId="92" applyFont="1" applyFill="1" applyBorder="1" applyAlignment="1">
      <alignment horizontal="center" vertical="top" wrapText="1"/>
      <protection/>
    </xf>
    <xf numFmtId="49" fontId="5" fillId="0" borderId="28" xfId="92" applyNumberFormat="1" applyFont="1" applyFill="1" applyBorder="1" applyAlignment="1">
      <alignment horizontal="center" vertical="center" wrapText="1"/>
      <protection/>
    </xf>
    <xf numFmtId="49" fontId="5" fillId="0" borderId="29" xfId="92" applyNumberFormat="1" applyFont="1" applyFill="1" applyBorder="1" applyAlignment="1">
      <alignment horizontal="center" vertical="center" wrapText="1"/>
      <protection/>
    </xf>
    <xf numFmtId="49" fontId="5" fillId="0" borderId="30" xfId="92" applyNumberFormat="1" applyFont="1" applyFill="1" applyBorder="1" applyAlignment="1">
      <alignment horizontal="center" vertical="center" wrapText="1"/>
      <protection/>
    </xf>
    <xf numFmtId="49" fontId="5" fillId="0" borderId="31" xfId="92" applyNumberFormat="1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47" fillId="0" borderId="19" xfId="92" applyFont="1" applyFill="1" applyBorder="1" applyAlignment="1">
      <alignment horizontal="center" vertical="center" wrapText="1"/>
      <protection/>
    </xf>
    <xf numFmtId="49" fontId="5" fillId="0" borderId="24" xfId="92" applyNumberFormat="1" applyFont="1" applyFill="1" applyBorder="1" applyAlignment="1">
      <alignment horizontal="center" vertical="center" wrapText="1"/>
      <protection/>
    </xf>
    <xf numFmtId="49" fontId="5" fillId="0" borderId="26" xfId="92" applyNumberFormat="1" applyFont="1" applyFill="1" applyBorder="1" applyAlignment="1">
      <alignment horizontal="center" vertical="center" wrapText="1"/>
      <protection/>
    </xf>
    <xf numFmtId="49" fontId="5" fillId="0" borderId="24" xfId="92" applyNumberFormat="1" applyFont="1" applyFill="1" applyBorder="1" applyAlignment="1">
      <alignment horizontal="center" vertical="center" wrapText="1"/>
      <protection/>
    </xf>
    <xf numFmtId="49" fontId="5" fillId="0" borderId="25" xfId="92" applyNumberFormat="1" applyFont="1" applyFill="1" applyBorder="1" applyAlignment="1">
      <alignment horizontal="center" vertical="center" wrapText="1"/>
      <protection/>
    </xf>
    <xf numFmtId="49" fontId="5" fillId="0" borderId="26" xfId="92" applyNumberFormat="1" applyFont="1" applyFill="1" applyBorder="1" applyAlignment="1">
      <alignment horizontal="center" vertical="center" wrapText="1"/>
      <protection/>
    </xf>
    <xf numFmtId="0" fontId="7" fillId="48" borderId="0" xfId="92" applyFont="1" applyFill="1" applyBorder="1" applyAlignment="1" applyProtection="1">
      <alignment horizontal="center" vertical="top" wrapText="1"/>
      <protection/>
    </xf>
    <xf numFmtId="0" fontId="7" fillId="48" borderId="23" xfId="92" applyFont="1" applyFill="1" applyBorder="1" applyAlignment="1" applyProtection="1">
      <alignment horizontal="center" vertical="top"/>
      <protection/>
    </xf>
    <xf numFmtId="0" fontId="2" fillId="48" borderId="20" xfId="92" applyFont="1" applyFill="1" applyBorder="1" applyAlignment="1" applyProtection="1">
      <alignment horizontal="center"/>
      <protection locked="0"/>
    </xf>
    <xf numFmtId="0" fontId="2" fillId="48" borderId="20" xfId="92" applyFont="1" applyFill="1" applyBorder="1" applyAlignment="1" applyProtection="1">
      <alignment horizontal="center" wrapText="1"/>
      <protection locked="0"/>
    </xf>
    <xf numFmtId="0" fontId="102" fillId="48" borderId="20" xfId="90" applyNumberFormat="1" applyFont="1" applyFill="1" applyBorder="1" applyAlignment="1" applyProtection="1">
      <alignment horizontal="center" wrapText="1"/>
      <protection/>
    </xf>
    <xf numFmtId="0" fontId="90" fillId="47" borderId="24" xfId="0" applyFont="1" applyFill="1" applyBorder="1" applyAlignment="1">
      <alignment horizontal="center" vertical="top" wrapText="1"/>
    </xf>
    <xf numFmtId="0" fontId="90" fillId="47" borderId="25" xfId="0" applyFont="1" applyFill="1" applyBorder="1" applyAlignment="1">
      <alignment horizontal="center" vertical="top" wrapText="1"/>
    </xf>
    <xf numFmtId="0" fontId="90" fillId="47" borderId="26" xfId="0" applyFont="1" applyFill="1" applyBorder="1" applyAlignment="1">
      <alignment horizontal="center" vertical="top" wrapText="1"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49" fontId="2" fillId="48" borderId="20" xfId="92" applyNumberFormat="1" applyFont="1" applyFill="1" applyBorder="1" applyAlignment="1" applyProtection="1">
      <alignment horizontal="center"/>
      <protection locked="0"/>
    </xf>
    <xf numFmtId="0" fontId="5" fillId="48" borderId="23" xfId="92" applyFont="1" applyFill="1" applyBorder="1" applyAlignment="1">
      <alignment horizontal="center" vertical="top" wrapText="1"/>
      <protection/>
    </xf>
    <xf numFmtId="0" fontId="5" fillId="48" borderId="0" xfId="92" applyFont="1" applyFill="1" applyBorder="1" applyAlignment="1">
      <alignment horizontal="center" vertical="top" wrapText="1"/>
      <protection/>
    </xf>
    <xf numFmtId="0" fontId="90" fillId="47" borderId="21" xfId="0" applyFont="1" applyFill="1" applyBorder="1" applyAlignment="1">
      <alignment horizontal="center" vertical="top" wrapText="1"/>
    </xf>
    <xf numFmtId="0" fontId="90" fillId="47" borderId="22" xfId="0" applyFont="1" applyFill="1" applyBorder="1" applyAlignment="1">
      <alignment horizontal="center" vertical="top" wrapText="1"/>
    </xf>
    <xf numFmtId="0" fontId="89" fillId="48" borderId="0" xfId="0" applyFont="1" applyFill="1" applyBorder="1" applyAlignment="1">
      <alignment horizontal="center" vertical="center" wrapText="1"/>
    </xf>
    <xf numFmtId="0" fontId="90" fillId="48" borderId="0" xfId="90" applyNumberFormat="1" applyFont="1" applyFill="1" applyBorder="1" applyAlignment="1" applyProtection="1">
      <alignment horizontal="center" wrapText="1"/>
      <protection/>
    </xf>
    <xf numFmtId="0" fontId="90" fillId="48" borderId="23" xfId="90" applyFont="1" applyFill="1" applyBorder="1" applyAlignment="1" applyProtection="1">
      <alignment horizontal="center" vertical="top" wrapText="1"/>
      <protection/>
    </xf>
    <xf numFmtId="0" fontId="90" fillId="47" borderId="23" xfId="90" applyFont="1" applyFill="1" applyBorder="1" applyAlignment="1" applyProtection="1">
      <alignment horizontal="center" vertical="top" wrapText="1"/>
      <protection/>
    </xf>
    <xf numFmtId="0" fontId="90" fillId="47" borderId="19" xfId="0" applyFont="1" applyFill="1" applyBorder="1" applyAlignment="1">
      <alignment horizontal="center" vertical="center" wrapText="1"/>
    </xf>
    <xf numFmtId="0" fontId="90" fillId="47" borderId="19" xfId="0" applyFont="1" applyFill="1" applyBorder="1" applyAlignment="1">
      <alignment horizontal="center" vertical="top" wrapText="1"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56"/>
  <sheetViews>
    <sheetView showZeros="0" tabSelected="1" zoomScalePageLayoutView="0" workbookViewId="0" topLeftCell="A1">
      <selection activeCell="E26" sqref="E26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120</v>
      </c>
      <c r="B1" s="2" t="s">
        <v>25</v>
      </c>
      <c r="C1" s="56"/>
      <c r="D1" s="56" t="s">
        <v>42</v>
      </c>
      <c r="E1" s="57" t="s">
        <v>131</v>
      </c>
      <c r="F1" s="4"/>
    </row>
    <row r="2" spans="1:9" ht="8.25" customHeight="1">
      <c r="A2" s="13"/>
      <c r="B2" s="13"/>
      <c r="C2" s="32"/>
      <c r="D2" s="33"/>
      <c r="E2" s="33"/>
      <c r="F2" s="33"/>
      <c r="G2" s="33"/>
      <c r="H2" s="33"/>
      <c r="I2" s="14"/>
    </row>
    <row r="3" spans="1:8" ht="27.75" customHeight="1">
      <c r="A3" s="190" t="s">
        <v>103</v>
      </c>
      <c r="B3" s="190"/>
      <c r="C3" s="190"/>
      <c r="D3" s="190"/>
      <c r="E3" s="190"/>
      <c r="F3" s="190"/>
      <c r="G3" s="193" t="s">
        <v>104</v>
      </c>
      <c r="H3" s="193"/>
    </row>
    <row r="4" spans="1:8" ht="12.75">
      <c r="A4" s="196" t="s">
        <v>105</v>
      </c>
      <c r="B4" s="196"/>
      <c r="C4" s="196"/>
      <c r="D4" s="196"/>
      <c r="E4" s="196"/>
      <c r="F4" s="196"/>
      <c r="G4" s="194" t="s">
        <v>106</v>
      </c>
      <c r="H4" s="194"/>
    </row>
    <row r="5" spans="1:8" ht="41.25" customHeight="1">
      <c r="A5" s="189" t="s">
        <v>90</v>
      </c>
      <c r="B5" s="190"/>
      <c r="C5" s="190"/>
      <c r="D5" s="190"/>
      <c r="E5" s="190"/>
      <c r="F5" s="190"/>
      <c r="G5" s="195" t="s">
        <v>175</v>
      </c>
      <c r="H5" s="195"/>
    </row>
    <row r="6" spans="1:9" ht="12.75">
      <c r="A6" s="9"/>
      <c r="B6" s="21"/>
      <c r="C6" s="8"/>
      <c r="D6" s="4"/>
      <c r="E6" s="4"/>
      <c r="F6" s="4"/>
      <c r="I6" s="10"/>
    </row>
    <row r="7" spans="1:9" ht="24.75" customHeight="1">
      <c r="A7" s="188" t="s">
        <v>102</v>
      </c>
      <c r="B7" s="188"/>
      <c r="C7" s="188"/>
      <c r="D7" s="188"/>
      <c r="E7" s="188"/>
      <c r="F7" s="188"/>
      <c r="G7" s="188"/>
      <c r="H7" s="188"/>
      <c r="I7" s="31"/>
    </row>
    <row r="8" spans="1:9" ht="15.75" customHeight="1">
      <c r="A8" s="27"/>
      <c r="B8" s="22"/>
      <c r="C8" s="152">
        <f>IF(D8="","",IF(D8="1 квартал","за","за 1 квартал -"))</f>
      </c>
      <c r="D8" s="153"/>
      <c r="E8" s="154"/>
      <c r="F8" s="23" t="s">
        <v>32</v>
      </c>
      <c r="G8" s="28"/>
      <c r="H8" s="7"/>
      <c r="I8" s="28"/>
    </row>
    <row r="9" spans="1:11" s="24" customFormat="1" ht="12.75" customHeight="1">
      <c r="A9" s="27"/>
      <c r="B9" s="155"/>
      <c r="C9" s="192" t="s">
        <v>132</v>
      </c>
      <c r="D9" s="192"/>
      <c r="E9" s="192"/>
      <c r="F9" s="37"/>
      <c r="J9" s="1"/>
      <c r="K9" s="25"/>
    </row>
    <row r="10" spans="1:8" ht="15.75">
      <c r="A10" s="197"/>
      <c r="B10" s="197"/>
      <c r="C10" s="197"/>
      <c r="D10" s="197"/>
      <c r="E10" s="197"/>
      <c r="F10" s="197"/>
      <c r="G10" s="197"/>
      <c r="H10" s="197"/>
    </row>
    <row r="11" spans="1:8" ht="12.75">
      <c r="A11" s="187" t="s">
        <v>119</v>
      </c>
      <c r="B11" s="187"/>
      <c r="C11" s="187"/>
      <c r="D11" s="187"/>
      <c r="E11" s="187"/>
      <c r="F11" s="187"/>
      <c r="G11" s="187"/>
      <c r="H11" s="187"/>
    </row>
    <row r="12" spans="1:8" ht="15" customHeight="1">
      <c r="A12" s="191"/>
      <c r="B12" s="191"/>
      <c r="C12" s="191"/>
      <c r="D12" s="191"/>
      <c r="E12" s="191"/>
      <c r="F12" s="191"/>
      <c r="G12" s="191"/>
      <c r="H12" s="191"/>
    </row>
    <row r="13" spans="1:8" ht="12.75">
      <c r="A13" s="187" t="s">
        <v>176</v>
      </c>
      <c r="B13" s="187"/>
      <c r="C13" s="187"/>
      <c r="D13" s="187"/>
      <c r="E13" s="187"/>
      <c r="F13" s="187"/>
      <c r="G13" s="187"/>
      <c r="H13" s="187"/>
    </row>
    <row r="14" spans="1:11" s="24" customFormat="1" ht="15.75">
      <c r="A14" s="27"/>
      <c r="B14" s="15"/>
      <c r="C14" s="29"/>
      <c r="D14" s="29"/>
      <c r="E14" s="26"/>
      <c r="F14" s="36"/>
      <c r="G14" s="36"/>
      <c r="H14" s="36"/>
      <c r="I14" s="28"/>
      <c r="J14" s="1"/>
      <c r="K14" s="25"/>
    </row>
    <row r="15" spans="1:12" s="24" customFormat="1" ht="15">
      <c r="A15" s="199" t="s">
        <v>33</v>
      </c>
      <c r="B15" s="199" t="s">
        <v>26</v>
      </c>
      <c r="C15" s="201" t="s">
        <v>34</v>
      </c>
      <c r="D15" s="201"/>
      <c r="E15" s="201"/>
      <c r="F15" s="201"/>
      <c r="G15" s="201"/>
      <c r="H15" s="201"/>
      <c r="I15" s="28"/>
      <c r="J15" s="18"/>
      <c r="K15" s="18"/>
      <c r="L15" s="18"/>
    </row>
    <row r="16" spans="1:9" s="24" customFormat="1" ht="12.75">
      <c r="A16" s="200"/>
      <c r="B16" s="200"/>
      <c r="C16" s="202" t="s">
        <v>35</v>
      </c>
      <c r="D16" s="203" t="s">
        <v>36</v>
      </c>
      <c r="E16" s="203" t="s">
        <v>37</v>
      </c>
      <c r="F16" s="203" t="s">
        <v>38</v>
      </c>
      <c r="G16" s="203" t="s">
        <v>39</v>
      </c>
      <c r="H16" s="200"/>
      <c r="I16" s="12"/>
    </row>
    <row r="17" spans="1:12" s="24" customFormat="1" ht="37.5" customHeight="1">
      <c r="A17" s="200"/>
      <c r="B17" s="200"/>
      <c r="C17" s="202"/>
      <c r="D17" s="203"/>
      <c r="E17" s="203"/>
      <c r="F17" s="200"/>
      <c r="G17" s="34" t="s">
        <v>91</v>
      </c>
      <c r="H17" s="34" t="s">
        <v>40</v>
      </c>
      <c r="I17" s="30"/>
      <c r="J17" s="198" t="s">
        <v>43</v>
      </c>
      <c r="K17" s="198"/>
      <c r="L17" s="198"/>
    </row>
    <row r="18" spans="1:12" s="24" customFormat="1" ht="12" customHeight="1">
      <c r="A18" s="35" t="s">
        <v>27</v>
      </c>
      <c r="B18" s="35" t="s">
        <v>28</v>
      </c>
      <c r="C18" s="35">
        <v>1</v>
      </c>
      <c r="D18" s="35">
        <v>2</v>
      </c>
      <c r="E18" s="35">
        <v>3</v>
      </c>
      <c r="F18" s="35">
        <v>4</v>
      </c>
      <c r="G18" s="35">
        <v>5</v>
      </c>
      <c r="H18" s="35">
        <v>6</v>
      </c>
      <c r="I18" s="30"/>
      <c r="J18" s="58" t="s">
        <v>44</v>
      </c>
      <c r="K18" s="58" t="s">
        <v>93</v>
      </c>
      <c r="L18" s="58" t="s">
        <v>94</v>
      </c>
    </row>
    <row r="19" spans="1:12" s="24" customFormat="1" ht="12.75">
      <c r="A19" s="64" t="s">
        <v>92</v>
      </c>
      <c r="B19" s="62" t="s">
        <v>83</v>
      </c>
      <c r="C19" s="137">
        <f>SUM(C20,C32,C39)</f>
        <v>0</v>
      </c>
      <c r="D19" s="137">
        <f>SUM(D20,D32,D39)</f>
        <v>0</v>
      </c>
      <c r="E19" s="137">
        <f>SUM(E20,E32,E39)</f>
        <v>0</v>
      </c>
      <c r="F19" s="137">
        <f>SUM(F20,F32,F39)</f>
        <v>0</v>
      </c>
      <c r="G19" s="137">
        <f aca="true" t="shared" si="0" ref="G19:G45">SUM(C19,D19)-SUM(E19,F19)</f>
        <v>0</v>
      </c>
      <c r="H19" s="137">
        <f>SUM(H20,H32,H39)</f>
        <v>0</v>
      </c>
      <c r="I19" s="30"/>
      <c r="J19" s="59" t="str">
        <f>B19</f>
        <v>10</v>
      </c>
      <c r="K19" s="60">
        <f>IF((C19+D19)&gt;=(E19+F19),0,(C19+D19)-(E19+F19))</f>
        <v>0</v>
      </c>
      <c r="L19" s="60">
        <f>IF(G19&gt;=H19,0,G19-H19)</f>
        <v>0</v>
      </c>
    </row>
    <row r="20" spans="1:12" s="24" customFormat="1" ht="25.5">
      <c r="A20" s="63" t="s">
        <v>96</v>
      </c>
      <c r="B20" s="62" t="s">
        <v>45</v>
      </c>
      <c r="C20" s="138">
        <f>SUM(C21:C31)</f>
        <v>0</v>
      </c>
      <c r="D20" s="138">
        <f>SUM(D21:D31)</f>
        <v>0</v>
      </c>
      <c r="E20" s="138">
        <f>SUM(E21:E31)</f>
        <v>0</v>
      </c>
      <c r="F20" s="138">
        <f>SUM(F21:F31)</f>
        <v>0</v>
      </c>
      <c r="G20" s="138">
        <f t="shared" si="0"/>
        <v>0</v>
      </c>
      <c r="H20" s="138">
        <f>SUM(H21:H31)</f>
        <v>0</v>
      </c>
      <c r="I20" s="30"/>
      <c r="J20" s="59" t="str">
        <f aca="true" t="shared" si="1" ref="J20:J49">B20</f>
        <v>20</v>
      </c>
      <c r="K20" s="60">
        <f aca="true" t="shared" si="2" ref="K20:K49">IF((C20+D20)&gt;=(E20+F20),0,(C20+D20)-(E20+F20))</f>
        <v>0</v>
      </c>
      <c r="L20" s="60">
        <f aca="true" t="shared" si="3" ref="L20:L49">IF(G20&gt;=H20,0,G20-H20)</f>
        <v>0</v>
      </c>
    </row>
    <row r="21" spans="1:12" s="24" customFormat="1" ht="12.75">
      <c r="A21" s="61" t="s">
        <v>46</v>
      </c>
      <c r="B21" s="62" t="s">
        <v>47</v>
      </c>
      <c r="C21" s="186">
        <f>IF(ISERROR(VLOOKUP($C$1,'Данные прошлого года'!$B$4:$AA$95,2,FALSE)),0,VLOOKUP($C$1,'Данные прошлого года'!$B$4:$AA$95,2,FALSE))</f>
        <v>0</v>
      </c>
      <c r="D21" s="139"/>
      <c r="E21" s="139"/>
      <c r="F21" s="139"/>
      <c r="G21" s="138">
        <f t="shared" si="0"/>
        <v>0</v>
      </c>
      <c r="H21" s="139"/>
      <c r="I21" s="30"/>
      <c r="J21" s="59" t="str">
        <f t="shared" si="1"/>
        <v>21</v>
      </c>
      <c r="K21" s="60">
        <f t="shared" si="2"/>
        <v>0</v>
      </c>
      <c r="L21" s="60">
        <f t="shared" si="3"/>
        <v>0</v>
      </c>
    </row>
    <row r="22" spans="1:12" s="24" customFormat="1" ht="12.75">
      <c r="A22" s="61" t="s">
        <v>48</v>
      </c>
      <c r="B22" s="62" t="s">
        <v>49</v>
      </c>
      <c r="C22" s="186">
        <f>IF(ISERROR(VLOOKUP($C$1,'Данные прошлого года'!$B$4:$AA$95,3,FALSE)),0,VLOOKUP($C$1,'Данные прошлого года'!$B$4:$AA$95,3,FALSE))</f>
        <v>0</v>
      </c>
      <c r="D22" s="139"/>
      <c r="E22" s="139"/>
      <c r="F22" s="139"/>
      <c r="G22" s="138">
        <f t="shared" si="0"/>
        <v>0</v>
      </c>
      <c r="H22" s="139"/>
      <c r="I22" s="30"/>
      <c r="J22" s="59" t="str">
        <f t="shared" si="1"/>
        <v>22</v>
      </c>
      <c r="K22" s="60">
        <f t="shared" si="2"/>
        <v>0</v>
      </c>
      <c r="L22" s="60">
        <f t="shared" si="3"/>
        <v>0</v>
      </c>
    </row>
    <row r="23" spans="1:12" s="24" customFormat="1" ht="12.75">
      <c r="A23" s="61" t="s">
        <v>50</v>
      </c>
      <c r="B23" s="62" t="s">
        <v>51</v>
      </c>
      <c r="C23" s="186">
        <f>IF(ISERROR(VLOOKUP($C$1,'Данные прошлого года'!$B$4:$AA$95,4,FALSE)),0,VLOOKUP($C$1,'Данные прошлого года'!$B$4:$AA$95,4,FALSE))</f>
        <v>0</v>
      </c>
      <c r="D23" s="139"/>
      <c r="E23" s="139"/>
      <c r="F23" s="139"/>
      <c r="G23" s="138">
        <f t="shared" si="0"/>
        <v>0</v>
      </c>
      <c r="H23" s="139"/>
      <c r="I23" s="30"/>
      <c r="J23" s="59" t="str">
        <f t="shared" si="1"/>
        <v>23</v>
      </c>
      <c r="K23" s="60">
        <f t="shared" si="2"/>
        <v>0</v>
      </c>
      <c r="L23" s="60">
        <f t="shared" si="3"/>
        <v>0</v>
      </c>
    </row>
    <row r="24" spans="1:12" s="24" customFormat="1" ht="12.75">
      <c r="A24" s="61" t="s">
        <v>52</v>
      </c>
      <c r="B24" s="62" t="s">
        <v>53</v>
      </c>
      <c r="C24" s="186">
        <f>IF(ISERROR(VLOOKUP($C$1,'Данные прошлого года'!$B$4:$AA$95,5,FALSE)),0,VLOOKUP($C$1,'Данные прошлого года'!$B$4:$AA$95,5,FALSE))</f>
        <v>0</v>
      </c>
      <c r="D24" s="139"/>
      <c r="E24" s="139"/>
      <c r="F24" s="139"/>
      <c r="G24" s="138">
        <f t="shared" si="0"/>
        <v>0</v>
      </c>
      <c r="H24" s="139"/>
      <c r="I24" s="30"/>
      <c r="J24" s="59" t="str">
        <f t="shared" si="1"/>
        <v>24</v>
      </c>
      <c r="K24" s="60">
        <f t="shared" si="2"/>
        <v>0</v>
      </c>
      <c r="L24" s="60">
        <f t="shared" si="3"/>
        <v>0</v>
      </c>
    </row>
    <row r="25" spans="1:12" s="24" customFormat="1" ht="12.75">
      <c r="A25" s="61" t="s">
        <v>54</v>
      </c>
      <c r="B25" s="62" t="s">
        <v>55</v>
      </c>
      <c r="C25" s="186">
        <f>IF(ISERROR(VLOOKUP($C$1,'Данные прошлого года'!$B$4:$AA$95,6,FALSE)),0,VLOOKUP($C$1,'Данные прошлого года'!$B$4:$AA$95,6,FALSE))</f>
        <v>0</v>
      </c>
      <c r="D25" s="139"/>
      <c r="E25" s="139"/>
      <c r="F25" s="139"/>
      <c r="G25" s="138">
        <f t="shared" si="0"/>
        <v>0</v>
      </c>
      <c r="H25" s="139"/>
      <c r="I25" s="30"/>
      <c r="J25" s="59" t="str">
        <f t="shared" si="1"/>
        <v>25</v>
      </c>
      <c r="K25" s="60">
        <f t="shared" si="2"/>
        <v>0</v>
      </c>
      <c r="L25" s="60">
        <f t="shared" si="3"/>
        <v>0</v>
      </c>
    </row>
    <row r="26" spans="1:12" s="24" customFormat="1" ht="12.75">
      <c r="A26" s="61" t="s">
        <v>56</v>
      </c>
      <c r="B26" s="62" t="s">
        <v>57</v>
      </c>
      <c r="C26" s="186">
        <f>IF(ISERROR(VLOOKUP($C$1,'Данные прошлого года'!$B$4:$AA$95,7,FALSE)),0,VLOOKUP($C$1,'Данные прошлого года'!$B$4:$AA$95,7,FALSE))</f>
        <v>0</v>
      </c>
      <c r="D26" s="139"/>
      <c r="E26" s="139"/>
      <c r="F26" s="139"/>
      <c r="G26" s="138">
        <f t="shared" si="0"/>
        <v>0</v>
      </c>
      <c r="H26" s="139"/>
      <c r="I26" s="30"/>
      <c r="J26" s="59" t="str">
        <f t="shared" si="1"/>
        <v>26</v>
      </c>
      <c r="K26" s="60">
        <f t="shared" si="2"/>
        <v>0</v>
      </c>
      <c r="L26" s="60">
        <f t="shared" si="3"/>
        <v>0</v>
      </c>
    </row>
    <row r="27" spans="1:12" s="24" customFormat="1" ht="25.5">
      <c r="A27" s="61" t="s">
        <v>58</v>
      </c>
      <c r="B27" s="62" t="s">
        <v>59</v>
      </c>
      <c r="C27" s="186">
        <f>IF(ISERROR(VLOOKUP($C$1,'Данные прошлого года'!$B$4:$AA$95,8,FALSE)),0,VLOOKUP($C$1,'Данные прошлого года'!$B$4:$AA$95,8,FALSE))</f>
        <v>0</v>
      </c>
      <c r="D27" s="139"/>
      <c r="E27" s="139"/>
      <c r="F27" s="139"/>
      <c r="G27" s="138">
        <f t="shared" si="0"/>
        <v>0</v>
      </c>
      <c r="H27" s="139"/>
      <c r="I27" s="30"/>
      <c r="J27" s="59" t="str">
        <f t="shared" si="1"/>
        <v>27</v>
      </c>
      <c r="K27" s="60">
        <f t="shared" si="2"/>
        <v>0</v>
      </c>
      <c r="L27" s="60">
        <f t="shared" si="3"/>
        <v>0</v>
      </c>
    </row>
    <row r="28" spans="1:12" s="24" customFormat="1" ht="25.5">
      <c r="A28" s="61" t="s">
        <v>98</v>
      </c>
      <c r="B28" s="62" t="s">
        <v>60</v>
      </c>
      <c r="C28" s="186">
        <f>IF(ISERROR(VLOOKUP($C$1,'Данные прошлого года'!$B$4:$AA$95,9,FALSE)),0,VLOOKUP($C$1,'Данные прошлого года'!$B$4:$AA$95,9,FALSE))</f>
        <v>0</v>
      </c>
      <c r="D28" s="139"/>
      <c r="E28" s="139"/>
      <c r="F28" s="139"/>
      <c r="G28" s="138">
        <f t="shared" si="0"/>
        <v>0</v>
      </c>
      <c r="H28" s="139"/>
      <c r="I28" s="30"/>
      <c r="J28" s="59" t="str">
        <f t="shared" si="1"/>
        <v>28</v>
      </c>
      <c r="K28" s="60">
        <f t="shared" si="2"/>
        <v>0</v>
      </c>
      <c r="L28" s="60">
        <f t="shared" si="3"/>
        <v>0</v>
      </c>
    </row>
    <row r="29" spans="1:12" s="24" customFormat="1" ht="25.5">
      <c r="A29" s="61" t="s">
        <v>99</v>
      </c>
      <c r="B29" s="62" t="s">
        <v>61</v>
      </c>
      <c r="C29" s="186">
        <f>IF(ISERROR(VLOOKUP($C$1,'Данные прошлого года'!$B$4:$AA$95,10,FALSE)),0,VLOOKUP($C$1,'Данные прошлого года'!$B$4:$AA$95,10,FALSE))</f>
        <v>0</v>
      </c>
      <c r="D29" s="139"/>
      <c r="E29" s="139"/>
      <c r="F29" s="139"/>
      <c r="G29" s="138">
        <f t="shared" si="0"/>
        <v>0</v>
      </c>
      <c r="H29" s="139"/>
      <c r="I29" s="30"/>
      <c r="J29" s="59" t="str">
        <f t="shared" si="1"/>
        <v>29</v>
      </c>
      <c r="K29" s="60">
        <f t="shared" si="2"/>
        <v>0</v>
      </c>
      <c r="L29" s="60">
        <f t="shared" si="3"/>
        <v>0</v>
      </c>
    </row>
    <row r="30" spans="1:12" s="24" customFormat="1" ht="25.5">
      <c r="A30" s="61" t="s">
        <v>62</v>
      </c>
      <c r="B30" s="62" t="s">
        <v>63</v>
      </c>
      <c r="C30" s="186">
        <f>IF(ISERROR(VLOOKUP($C$1,'Данные прошлого года'!$B$4:$AA$95,11,FALSE)),0,VLOOKUP($C$1,'Данные прошлого года'!$B$4:$AA$95,11,FALSE))</f>
        <v>0</v>
      </c>
      <c r="D30" s="139"/>
      <c r="E30" s="139"/>
      <c r="F30" s="139"/>
      <c r="G30" s="138">
        <f t="shared" si="0"/>
        <v>0</v>
      </c>
      <c r="H30" s="139"/>
      <c r="I30" s="30"/>
      <c r="J30" s="59" t="str">
        <f t="shared" si="1"/>
        <v>30</v>
      </c>
      <c r="K30" s="60">
        <f t="shared" si="2"/>
        <v>0</v>
      </c>
      <c r="L30" s="60">
        <f t="shared" si="3"/>
        <v>0</v>
      </c>
    </row>
    <row r="31" spans="1:12" s="24" customFormat="1" ht="12.75">
      <c r="A31" s="61" t="s">
        <v>64</v>
      </c>
      <c r="B31" s="62" t="s">
        <v>65</v>
      </c>
      <c r="C31" s="186">
        <f>IF(ISERROR(VLOOKUP($C$1,'Данные прошлого года'!$B$4:$AA$95,12,FALSE)),0,VLOOKUP($C$1,'Данные прошлого года'!$B$4:$AA$95,12,FALSE))</f>
        <v>0</v>
      </c>
      <c r="D31" s="139"/>
      <c r="E31" s="139"/>
      <c r="F31" s="139"/>
      <c r="G31" s="138">
        <f t="shared" si="0"/>
        <v>0</v>
      </c>
      <c r="H31" s="139"/>
      <c r="I31" s="30"/>
      <c r="J31" s="59" t="str">
        <f t="shared" si="1"/>
        <v>31</v>
      </c>
      <c r="K31" s="60">
        <f t="shared" si="2"/>
        <v>0</v>
      </c>
      <c r="L31" s="60">
        <f t="shared" si="3"/>
        <v>0</v>
      </c>
    </row>
    <row r="32" spans="1:12" s="24" customFormat="1" ht="12.75">
      <c r="A32" s="63" t="s">
        <v>66</v>
      </c>
      <c r="B32" s="62" t="s">
        <v>67</v>
      </c>
      <c r="C32" s="138">
        <f>SUM(C33:C38)</f>
        <v>0</v>
      </c>
      <c r="D32" s="138">
        <f>SUM(D33:D38)</f>
        <v>0</v>
      </c>
      <c r="E32" s="138">
        <f>SUM(E33:E38)</f>
        <v>0</v>
      </c>
      <c r="F32" s="138">
        <f>SUM(F33:F38)</f>
        <v>0</v>
      </c>
      <c r="G32" s="138">
        <f t="shared" si="0"/>
        <v>0</v>
      </c>
      <c r="H32" s="138">
        <f>SUM(H33:H38)</f>
        <v>0</v>
      </c>
      <c r="I32" s="30"/>
      <c r="J32" s="59" t="str">
        <f t="shared" si="1"/>
        <v>40</v>
      </c>
      <c r="K32" s="60">
        <f t="shared" si="2"/>
        <v>0</v>
      </c>
      <c r="L32" s="60">
        <f t="shared" si="3"/>
        <v>0</v>
      </c>
    </row>
    <row r="33" spans="1:12" s="24" customFormat="1" ht="12.75">
      <c r="A33" s="61" t="s">
        <v>68</v>
      </c>
      <c r="B33" s="62" t="s">
        <v>69</v>
      </c>
      <c r="C33" s="186">
        <f>IF(ISERROR(VLOOKUP($C$1,'Данные прошлого года'!$B$4:$AA$95,13,FALSE)),0,VLOOKUP($C$1,'Данные прошлого года'!$B$4:$AA$95,13,FALSE))</f>
        <v>0</v>
      </c>
      <c r="D33" s="139"/>
      <c r="E33" s="139"/>
      <c r="F33" s="139"/>
      <c r="G33" s="138">
        <f t="shared" si="0"/>
        <v>0</v>
      </c>
      <c r="H33" s="139"/>
      <c r="I33" s="30"/>
      <c r="J33" s="59" t="str">
        <f t="shared" si="1"/>
        <v>41</v>
      </c>
      <c r="K33" s="60">
        <f t="shared" si="2"/>
        <v>0</v>
      </c>
      <c r="L33" s="60">
        <f t="shared" si="3"/>
        <v>0</v>
      </c>
    </row>
    <row r="34" spans="1:12" s="24" customFormat="1" ht="25.5">
      <c r="A34" s="61" t="s">
        <v>70</v>
      </c>
      <c r="B34" s="62" t="s">
        <v>71</v>
      </c>
      <c r="C34" s="186">
        <f>IF(ISERROR(VLOOKUP($C$1,'Данные прошлого года'!$B$4:$AA$95,14,FALSE)),0,VLOOKUP($C$1,'Данные прошлого года'!$B$4:$AA$95,14,FALSE))</f>
        <v>0</v>
      </c>
      <c r="D34" s="139"/>
      <c r="E34" s="139"/>
      <c r="F34" s="139"/>
      <c r="G34" s="138">
        <f t="shared" si="0"/>
        <v>0</v>
      </c>
      <c r="H34" s="139"/>
      <c r="I34" s="30"/>
      <c r="J34" s="59" t="str">
        <f t="shared" si="1"/>
        <v>42</v>
      </c>
      <c r="K34" s="60">
        <f t="shared" si="2"/>
        <v>0</v>
      </c>
      <c r="L34" s="60">
        <f t="shared" si="3"/>
        <v>0</v>
      </c>
    </row>
    <row r="35" spans="1:12" s="24" customFormat="1" ht="12.75">
      <c r="A35" s="61" t="s">
        <v>133</v>
      </c>
      <c r="B35" s="62" t="s">
        <v>88</v>
      </c>
      <c r="C35" s="186">
        <f>IF(ISERROR(VLOOKUP($C$1,'Данные прошлого года'!$B$4:$AA$95,15,FALSE)),0,VLOOKUP($C$1,'Данные прошлого года'!$B$4:$AA$95,15,FALSE))</f>
        <v>0</v>
      </c>
      <c r="D35" s="139"/>
      <c r="E35" s="139"/>
      <c r="F35" s="139"/>
      <c r="G35" s="138">
        <f t="shared" si="0"/>
        <v>0</v>
      </c>
      <c r="H35" s="139"/>
      <c r="I35" s="30"/>
      <c r="J35" s="59" t="str">
        <f t="shared" si="1"/>
        <v>43</v>
      </c>
      <c r="K35" s="60">
        <f t="shared" si="2"/>
        <v>0</v>
      </c>
      <c r="L35" s="60">
        <f t="shared" si="3"/>
        <v>0</v>
      </c>
    </row>
    <row r="36" spans="1:12" s="24" customFormat="1" ht="12.75">
      <c r="A36" s="61" t="s">
        <v>73</v>
      </c>
      <c r="B36" s="62" t="s">
        <v>72</v>
      </c>
      <c r="C36" s="186">
        <f>IF(ISERROR(VLOOKUP($C$1,'Данные прошлого года'!$B$4:$AA$95,16,FALSE)),0,VLOOKUP($C$1,'Данные прошлого года'!$B$4:$AA$95,16,FALSE))</f>
        <v>0</v>
      </c>
      <c r="D36" s="139"/>
      <c r="E36" s="139"/>
      <c r="F36" s="139"/>
      <c r="G36" s="138">
        <f t="shared" si="0"/>
        <v>0</v>
      </c>
      <c r="H36" s="139"/>
      <c r="I36" s="30"/>
      <c r="J36" s="59" t="str">
        <f t="shared" si="1"/>
        <v>44</v>
      </c>
      <c r="K36" s="60">
        <f t="shared" si="2"/>
        <v>0</v>
      </c>
      <c r="L36" s="60">
        <f t="shared" si="3"/>
        <v>0</v>
      </c>
    </row>
    <row r="37" spans="1:12" s="24" customFormat="1" ht="25.5">
      <c r="A37" s="61" t="s">
        <v>177</v>
      </c>
      <c r="B37" s="62" t="s">
        <v>74</v>
      </c>
      <c r="C37" s="186">
        <f>IF(ISERROR(VLOOKUP($C$1,'Данные прошлого года'!$B$4:$AA$95,17,FALSE)),0,VLOOKUP($C$1,'Данные прошлого года'!$B$4:$AA$95,17,FALSE))</f>
        <v>0</v>
      </c>
      <c r="D37" s="139"/>
      <c r="E37" s="139"/>
      <c r="F37" s="139"/>
      <c r="G37" s="138">
        <f t="shared" si="0"/>
        <v>0</v>
      </c>
      <c r="H37" s="139"/>
      <c r="I37" s="30"/>
      <c r="J37" s="59" t="str">
        <f t="shared" si="1"/>
        <v>45</v>
      </c>
      <c r="K37" s="60">
        <f t="shared" si="2"/>
        <v>0</v>
      </c>
      <c r="L37" s="60">
        <f t="shared" si="3"/>
        <v>0</v>
      </c>
    </row>
    <row r="38" spans="1:12" s="24" customFormat="1" ht="12.75">
      <c r="A38" s="61" t="s">
        <v>64</v>
      </c>
      <c r="B38" s="62" t="s">
        <v>75</v>
      </c>
      <c r="C38" s="186">
        <f>IF(ISERROR(VLOOKUP($C$1,'Данные прошлого года'!$B$4:$AA$95,18,FALSE)),0,VLOOKUP($C$1,'Данные прошлого года'!$B$4:$AA$95,18,FALSE))</f>
        <v>0</v>
      </c>
      <c r="D38" s="139"/>
      <c r="E38" s="139"/>
      <c r="F38" s="139"/>
      <c r="G38" s="138">
        <f t="shared" si="0"/>
        <v>0</v>
      </c>
      <c r="H38" s="139"/>
      <c r="I38" s="30"/>
      <c r="J38" s="59" t="str">
        <f t="shared" si="1"/>
        <v>46</v>
      </c>
      <c r="K38" s="60">
        <f t="shared" si="2"/>
        <v>0</v>
      </c>
      <c r="L38" s="60">
        <f t="shared" si="3"/>
        <v>0</v>
      </c>
    </row>
    <row r="39" spans="1:12" s="24" customFormat="1" ht="25.5">
      <c r="A39" s="96" t="s">
        <v>137</v>
      </c>
      <c r="B39" s="62" t="s">
        <v>76</v>
      </c>
      <c r="C39" s="138">
        <f>SUM(C40:C45)</f>
        <v>0</v>
      </c>
      <c r="D39" s="138">
        <f>SUM(D40:D45)</f>
        <v>0</v>
      </c>
      <c r="E39" s="138">
        <f>SUM(E40:E45)</f>
        <v>0</v>
      </c>
      <c r="F39" s="138">
        <f>SUM(F40:F45)</f>
        <v>0</v>
      </c>
      <c r="G39" s="138">
        <f t="shared" si="0"/>
        <v>0</v>
      </c>
      <c r="H39" s="138">
        <f>SUM(H40:H45)</f>
        <v>0</v>
      </c>
      <c r="I39" s="30"/>
      <c r="J39" s="59" t="str">
        <f t="shared" si="1"/>
        <v>50</v>
      </c>
      <c r="K39" s="60">
        <f t="shared" si="2"/>
        <v>0</v>
      </c>
      <c r="L39" s="60">
        <f t="shared" si="3"/>
        <v>0</v>
      </c>
    </row>
    <row r="40" spans="1:12" s="24" customFormat="1" ht="25.5">
      <c r="A40" s="170" t="s">
        <v>178</v>
      </c>
      <c r="B40" s="62" t="s">
        <v>78</v>
      </c>
      <c r="C40" s="186">
        <f>IF(ISERROR(VLOOKUP($C$1,'Данные прошлого года'!$B$4:$AA$95,19,FALSE)),0,VLOOKUP($C$1,'Данные прошлого года'!$B$4:$AA$95,19,FALSE))</f>
        <v>0</v>
      </c>
      <c r="D40" s="139"/>
      <c r="E40" s="139"/>
      <c r="F40" s="139"/>
      <c r="G40" s="138">
        <f t="shared" si="0"/>
        <v>0</v>
      </c>
      <c r="H40" s="139"/>
      <c r="I40" s="30"/>
      <c r="J40" s="59" t="str">
        <f t="shared" si="1"/>
        <v>51</v>
      </c>
      <c r="K40" s="60">
        <f t="shared" si="2"/>
        <v>0</v>
      </c>
      <c r="L40" s="60">
        <f t="shared" si="3"/>
        <v>0</v>
      </c>
    </row>
    <row r="41" spans="1:12" s="24" customFormat="1" ht="12.75">
      <c r="A41" s="65" t="s">
        <v>100</v>
      </c>
      <c r="B41" s="62" t="s">
        <v>80</v>
      </c>
      <c r="C41" s="186">
        <f>IF(ISERROR(VLOOKUP($C$1,'Данные прошлого года'!$B$4:$AA$95,20,FALSE)),0,VLOOKUP($C$1,'Данные прошлого года'!$B$4:$AA$95,20,FALSE))</f>
        <v>0</v>
      </c>
      <c r="D41" s="139"/>
      <c r="E41" s="139"/>
      <c r="F41" s="139"/>
      <c r="G41" s="138">
        <f t="shared" si="0"/>
        <v>0</v>
      </c>
      <c r="H41" s="139"/>
      <c r="I41" s="30"/>
      <c r="J41" s="59" t="str">
        <f t="shared" si="1"/>
        <v>52</v>
      </c>
      <c r="K41" s="60">
        <f t="shared" si="2"/>
        <v>0</v>
      </c>
      <c r="L41" s="60">
        <f t="shared" si="3"/>
        <v>0</v>
      </c>
    </row>
    <row r="42" spans="1:12" s="24" customFormat="1" ht="25.5">
      <c r="A42" s="156" t="s">
        <v>136</v>
      </c>
      <c r="B42" s="62" t="s">
        <v>81</v>
      </c>
      <c r="C42" s="186">
        <f>IF(ISERROR(VLOOKUP($C$1,'Данные прошлого года'!$B$4:$AA$95,21,FALSE)),0,VLOOKUP($C$1,'Данные прошлого года'!$B$4:$AA$95,21,FALSE))</f>
        <v>0</v>
      </c>
      <c r="D42" s="139"/>
      <c r="E42" s="139"/>
      <c r="F42" s="139"/>
      <c r="G42" s="138">
        <f t="shared" si="0"/>
        <v>0</v>
      </c>
      <c r="H42" s="139"/>
      <c r="I42" s="30"/>
      <c r="J42" s="59" t="str">
        <f t="shared" si="1"/>
        <v>53</v>
      </c>
      <c r="K42" s="60">
        <f t="shared" si="2"/>
        <v>0</v>
      </c>
      <c r="L42" s="60">
        <f t="shared" si="3"/>
        <v>0</v>
      </c>
    </row>
    <row r="43" spans="1:12" s="24" customFormat="1" ht="12.75">
      <c r="A43" s="65" t="s">
        <v>77</v>
      </c>
      <c r="B43" s="62" t="s">
        <v>82</v>
      </c>
      <c r="C43" s="186">
        <f>IF(ISERROR(VLOOKUP($C$1,'Данные прошлого года'!$B$4:$AA$95,22,FALSE)),0,VLOOKUP($C$1,'Данные прошлого года'!$B$4:$AA$95,22,FALSE))</f>
        <v>0</v>
      </c>
      <c r="D43" s="139"/>
      <c r="E43" s="139"/>
      <c r="F43" s="139"/>
      <c r="G43" s="138">
        <f t="shared" si="0"/>
        <v>0</v>
      </c>
      <c r="H43" s="139"/>
      <c r="I43" s="30"/>
      <c r="J43" s="59" t="str">
        <f t="shared" si="1"/>
        <v>54</v>
      </c>
      <c r="K43" s="60">
        <f t="shared" si="2"/>
        <v>0</v>
      </c>
      <c r="L43" s="60">
        <f t="shared" si="3"/>
        <v>0</v>
      </c>
    </row>
    <row r="44" spans="1:12" s="24" customFormat="1" ht="12.75">
      <c r="A44" s="65" t="s">
        <v>79</v>
      </c>
      <c r="B44" s="62" t="s">
        <v>134</v>
      </c>
      <c r="C44" s="186">
        <f>IF(ISERROR(VLOOKUP($C$1,'Данные прошлого года'!$B$4:$AA$95,23,FALSE)),0,VLOOKUP($C$1,'Данные прошлого года'!$B$4:$AA$95,23,FALSE))</f>
        <v>0</v>
      </c>
      <c r="D44" s="139"/>
      <c r="E44" s="139"/>
      <c r="F44" s="139"/>
      <c r="G44" s="138">
        <f t="shared" si="0"/>
        <v>0</v>
      </c>
      <c r="H44" s="139"/>
      <c r="I44" s="30"/>
      <c r="J44" s="59" t="s">
        <v>134</v>
      </c>
      <c r="K44" s="60">
        <f>IF((C44+D44)&gt;=(E44+F44),0,(C44+D44)-(E44+F44))</f>
        <v>0</v>
      </c>
      <c r="L44" s="60">
        <f>IF(G44&gt;=H44,0,G44-H44)</f>
        <v>0</v>
      </c>
    </row>
    <row r="45" spans="1:12" s="24" customFormat="1" ht="12.75">
      <c r="A45" s="65" t="s">
        <v>64</v>
      </c>
      <c r="B45" s="62" t="s">
        <v>135</v>
      </c>
      <c r="C45" s="186">
        <f>IF(ISERROR(VLOOKUP($C$1,'Данные прошлого года'!$B$4:$AA$95,24,FALSE)),0,VLOOKUP($C$1,'Данные прошлого года'!$B$4:$AA$95,24,FALSE))</f>
        <v>0</v>
      </c>
      <c r="D45" s="139"/>
      <c r="E45" s="139"/>
      <c r="F45" s="139"/>
      <c r="G45" s="138">
        <f t="shared" si="0"/>
        <v>0</v>
      </c>
      <c r="H45" s="139"/>
      <c r="I45" s="30"/>
      <c r="J45" s="59" t="s">
        <v>135</v>
      </c>
      <c r="K45" s="60">
        <f>IF((C45+D45)&gt;=(E45+F45),0,(C45+D45)-(E45+F45))</f>
        <v>0</v>
      </c>
      <c r="L45" s="60">
        <f>IF(G45&gt;=H45,0,G45-H45)</f>
        <v>0</v>
      </c>
    </row>
    <row r="46" spans="1:12" s="24" customFormat="1" ht="12.75">
      <c r="A46" s="63" t="s">
        <v>95</v>
      </c>
      <c r="B46" s="62" t="s">
        <v>84</v>
      </c>
      <c r="C46" s="138">
        <f>SUM(C47:C48)</f>
        <v>0</v>
      </c>
      <c r="D46" s="138">
        <f>SUM(D47:D48)</f>
        <v>0</v>
      </c>
      <c r="E46" s="138">
        <f>SUM(E47:E48)</f>
        <v>0</v>
      </c>
      <c r="F46" s="138">
        <f>SUM(F47:F48)</f>
        <v>0</v>
      </c>
      <c r="G46" s="83">
        <f>SUM(C46,D46)-SUM(E46,F46)</f>
        <v>0</v>
      </c>
      <c r="H46" s="138">
        <f>SUM(H47:H48)</f>
        <v>0</v>
      </c>
      <c r="I46" s="30"/>
      <c r="J46" s="59" t="str">
        <f t="shared" si="1"/>
        <v>60</v>
      </c>
      <c r="K46" s="60">
        <f t="shared" si="2"/>
        <v>0</v>
      </c>
      <c r="L46" s="60">
        <f t="shared" si="3"/>
        <v>0</v>
      </c>
    </row>
    <row r="47" spans="1:12" s="24" customFormat="1" ht="25.5">
      <c r="A47" s="61" t="s">
        <v>101</v>
      </c>
      <c r="B47" s="62" t="s">
        <v>85</v>
      </c>
      <c r="C47" s="186">
        <f>IF(ISERROR(VLOOKUP($C$1,'Данные прошлого года'!$B$4:$AA$95,25,FALSE)),0,VLOOKUP($C$1,'Данные прошлого года'!$B$4:$AA$95,25,FALSE))</f>
        <v>0</v>
      </c>
      <c r="D47" s="139"/>
      <c r="E47" s="139"/>
      <c r="F47" s="139"/>
      <c r="G47" s="138">
        <f>SUM(C47,D47)-SUM(E47,F47)</f>
        <v>0</v>
      </c>
      <c r="H47" s="139"/>
      <c r="I47" s="30"/>
      <c r="J47" s="59" t="str">
        <f t="shared" si="1"/>
        <v>61</v>
      </c>
      <c r="K47" s="60">
        <f t="shared" si="2"/>
        <v>0</v>
      </c>
      <c r="L47" s="60">
        <f t="shared" si="3"/>
        <v>0</v>
      </c>
    </row>
    <row r="48" spans="1:12" s="24" customFormat="1" ht="12.75">
      <c r="A48" s="61" t="s">
        <v>64</v>
      </c>
      <c r="B48" s="62" t="s">
        <v>97</v>
      </c>
      <c r="C48" s="186">
        <f>IF(ISERROR(VLOOKUP($C$1,'Данные прошлого года'!$B$4:$AA$95,26,FALSE)),0,VLOOKUP($C$1,'Данные прошлого года'!$B$4:$AA$95,26,FALSE))</f>
        <v>0</v>
      </c>
      <c r="D48" s="139"/>
      <c r="E48" s="139"/>
      <c r="F48" s="139"/>
      <c r="G48" s="138">
        <f>SUM(C48,D48)-SUM(E48,F48)</f>
        <v>0</v>
      </c>
      <c r="H48" s="139"/>
      <c r="I48" s="30"/>
      <c r="J48" s="59" t="str">
        <f>B48</f>
        <v>62</v>
      </c>
      <c r="K48" s="60">
        <f>IF((C48+D48)&gt;=(E48+F48),0,(C48+D48)-(E48+F48))</f>
        <v>0</v>
      </c>
      <c r="L48" s="60">
        <f>IF(G48&gt;=H48,0,G48-H48)</f>
        <v>0</v>
      </c>
    </row>
    <row r="49" spans="1:12" s="24" customFormat="1" ht="12.75">
      <c r="A49" s="63" t="s">
        <v>89</v>
      </c>
      <c r="B49" s="62" t="s">
        <v>86</v>
      </c>
      <c r="C49" s="83">
        <f>SUM(C19,C46)</f>
        <v>0</v>
      </c>
      <c r="D49" s="83">
        <f>SUM(D19,D46)</f>
        <v>0</v>
      </c>
      <c r="E49" s="83">
        <f>SUM(E19,E46)</f>
        <v>0</v>
      </c>
      <c r="F49" s="83">
        <f>SUM(F19,F46)</f>
        <v>0</v>
      </c>
      <c r="G49" s="83">
        <f>SUM(C49,D49)-SUM(E49,F49)</f>
        <v>0</v>
      </c>
      <c r="H49" s="83">
        <f>SUM(H19,H46)</f>
        <v>0</v>
      </c>
      <c r="I49" s="30"/>
      <c r="J49" s="59" t="str">
        <f t="shared" si="1"/>
        <v>70</v>
      </c>
      <c r="K49" s="60">
        <f t="shared" si="2"/>
        <v>0</v>
      </c>
      <c r="L49" s="60">
        <f t="shared" si="3"/>
        <v>0</v>
      </c>
    </row>
    <row r="50" spans="1:10" s="116" customFormat="1" ht="12.75">
      <c r="A50" s="118"/>
      <c r="B50" s="119"/>
      <c r="C50" s="119"/>
      <c r="D50" s="119"/>
      <c r="E50" s="119"/>
      <c r="F50" s="119"/>
      <c r="G50" s="119"/>
      <c r="H50" s="120"/>
      <c r="I50" s="121"/>
      <c r="J50" s="120"/>
    </row>
    <row r="51" spans="1:10" s="116" customFormat="1" ht="12.75">
      <c r="A51" s="118"/>
      <c r="B51" s="119"/>
      <c r="C51" s="119"/>
      <c r="D51" s="119"/>
      <c r="E51" s="119"/>
      <c r="F51" s="119"/>
      <c r="G51" s="119"/>
      <c r="H51" s="120"/>
      <c r="I51" s="121"/>
      <c r="J51" s="120"/>
    </row>
    <row r="52" spans="1:10" s="116" customFormat="1" ht="12.75">
      <c r="A52" s="118"/>
      <c r="B52" s="119"/>
      <c r="C52" s="119"/>
      <c r="D52" s="119"/>
      <c r="E52" s="119"/>
      <c r="F52" s="119"/>
      <c r="G52" s="119"/>
      <c r="H52" s="120"/>
      <c r="I52" s="121"/>
      <c r="J52" s="120"/>
    </row>
    <row r="53" spans="1:10" s="116" customFormat="1" ht="12.75">
      <c r="A53" s="118"/>
      <c r="B53" s="119"/>
      <c r="C53" s="119"/>
      <c r="D53" s="119"/>
      <c r="E53" s="119"/>
      <c r="F53" s="119"/>
      <c r="G53" s="119"/>
      <c r="H53" s="120"/>
      <c r="I53" s="121"/>
      <c r="J53" s="120"/>
    </row>
    <row r="54" spans="1:11" ht="12.75">
      <c r="A54" s="5"/>
      <c r="B54" s="19"/>
      <c r="C54" s="19"/>
      <c r="D54" s="19"/>
      <c r="E54" s="19"/>
      <c r="F54" s="19"/>
      <c r="G54" s="19"/>
      <c r="H54" s="20"/>
      <c r="I54" s="19"/>
      <c r="J54" s="18"/>
      <c r="K54" s="19"/>
    </row>
    <row r="55" spans="1:11" ht="12.75">
      <c r="A55" s="16"/>
      <c r="B55" s="11"/>
      <c r="C55" s="11"/>
      <c r="D55" s="3"/>
      <c r="E55" s="11"/>
      <c r="F55" s="11"/>
      <c r="G55" s="3"/>
      <c r="H55" s="17"/>
      <c r="I55" s="11"/>
      <c r="J55" s="18"/>
      <c r="K55" s="11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sheetProtection/>
  <mergeCells count="21"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11:H11"/>
    <mergeCell ref="A7:H7"/>
    <mergeCell ref="A5:F5"/>
    <mergeCell ref="A12:H12"/>
    <mergeCell ref="A13:H13"/>
    <mergeCell ref="C9:E9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"2022,2023,2024"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квартал" errorTitle="ОШИБКА!" error="Воспользуйтесь выпадающим списком" sqref="D8">
      <formula1>"1 квартал,2 квартал,3 квартал,4 квартал"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47" bestFit="1" customWidth="1"/>
    <col min="2" max="2" width="9.140625" style="48" customWidth="1"/>
    <col min="3" max="3" width="9.140625" style="49" customWidth="1"/>
    <col min="4" max="8" width="18.28125" style="49" customWidth="1"/>
    <col min="9" max="12" width="20.421875" style="49" customWidth="1"/>
    <col min="13" max="16384" width="9.140625" style="49" customWidth="1"/>
  </cols>
  <sheetData>
    <row r="1" spans="1:2" ht="25.5">
      <c r="A1" s="47" t="s">
        <v>9</v>
      </c>
      <c r="B1" s="48">
        <v>10</v>
      </c>
    </row>
    <row r="2" spans="1:2" ht="25.5">
      <c r="A2" s="47" t="s">
        <v>10</v>
      </c>
      <c r="B2" s="48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5"/>
  <sheetViews>
    <sheetView showZeros="0" zoomScalePageLayoutView="0" workbookViewId="0" topLeftCell="L1">
      <selection activeCell="Z29" sqref="Z29"/>
    </sheetView>
  </sheetViews>
  <sheetFormatPr defaultColWidth="9.140625" defaultRowHeight="15"/>
  <cols>
    <col min="1" max="1" width="28.00390625" style="0" customWidth="1"/>
    <col min="2" max="2" width="6.28125" style="0" customWidth="1"/>
    <col min="3" max="3" width="13.421875" style="0" customWidth="1"/>
    <col min="4" max="4" width="15.28125" style="0" customWidth="1"/>
    <col min="5" max="8" width="13.421875" style="0" customWidth="1"/>
    <col min="9" max="9" width="16.140625" style="0" customWidth="1"/>
    <col min="10" max="10" width="15.421875" style="0" customWidth="1"/>
    <col min="11" max="11" width="13.421875" style="0" customWidth="1"/>
    <col min="12" max="12" width="15.421875" style="0" customWidth="1"/>
    <col min="13" max="14" width="13.421875" style="0" customWidth="1"/>
    <col min="15" max="15" width="15.57421875" style="0" customWidth="1"/>
    <col min="16" max="33" width="13.421875" style="0" customWidth="1"/>
  </cols>
  <sheetData>
    <row r="1" spans="3:12" ht="15.75">
      <c r="C1" s="204" t="s">
        <v>386</v>
      </c>
      <c r="D1" s="204"/>
      <c r="E1" s="204"/>
      <c r="F1" s="204"/>
      <c r="G1" s="204"/>
      <c r="H1" s="204"/>
      <c r="I1" s="204"/>
      <c r="J1" s="204"/>
      <c r="K1" s="204"/>
      <c r="L1" s="204"/>
    </row>
    <row r="2" spans="1:30" ht="51">
      <c r="A2" s="174" t="s">
        <v>202</v>
      </c>
      <c r="B2" s="175" t="s">
        <v>203</v>
      </c>
      <c r="C2" s="175" t="s">
        <v>387</v>
      </c>
      <c r="D2" s="175" t="s">
        <v>388</v>
      </c>
      <c r="E2" s="175" t="s">
        <v>389</v>
      </c>
      <c r="F2" s="175" t="s">
        <v>390</v>
      </c>
      <c r="G2" s="175" t="s">
        <v>391</v>
      </c>
      <c r="H2" s="175" t="s">
        <v>392</v>
      </c>
      <c r="I2" s="175" t="s">
        <v>401</v>
      </c>
      <c r="J2" s="175" t="s">
        <v>402</v>
      </c>
      <c r="K2" s="175" t="s">
        <v>403</v>
      </c>
      <c r="L2" s="175" t="s">
        <v>404</v>
      </c>
      <c r="M2" s="175" t="s">
        <v>393</v>
      </c>
      <c r="N2" s="175" t="s">
        <v>394</v>
      </c>
      <c r="O2" s="175" t="s">
        <v>405</v>
      </c>
      <c r="P2" s="175" t="s">
        <v>395</v>
      </c>
      <c r="Q2" s="175" t="s">
        <v>396</v>
      </c>
      <c r="R2" s="175" t="s">
        <v>406</v>
      </c>
      <c r="S2" s="175" t="s">
        <v>393</v>
      </c>
      <c r="T2" s="175" t="s">
        <v>411</v>
      </c>
      <c r="U2" s="175" t="s">
        <v>410</v>
      </c>
      <c r="V2" s="175" t="s">
        <v>407</v>
      </c>
      <c r="W2" s="175" t="s">
        <v>397</v>
      </c>
      <c r="X2" s="175" t="s">
        <v>398</v>
      </c>
      <c r="Y2" s="175" t="s">
        <v>393</v>
      </c>
      <c r="Z2" s="175" t="s">
        <v>408</v>
      </c>
      <c r="AA2" s="175" t="s">
        <v>409</v>
      </c>
      <c r="AD2" s="182"/>
    </row>
    <row r="3" spans="1:27" ht="15">
      <c r="A3" s="174">
        <v>1</v>
      </c>
      <c r="B3" s="174">
        <v>2</v>
      </c>
      <c r="C3" s="174">
        <v>3</v>
      </c>
      <c r="D3" s="174">
        <v>4</v>
      </c>
      <c r="E3" s="174">
        <v>5</v>
      </c>
      <c r="F3" s="174">
        <v>6</v>
      </c>
      <c r="G3" s="174">
        <v>7</v>
      </c>
      <c r="H3" s="174">
        <v>8</v>
      </c>
      <c r="I3" s="174">
        <v>9</v>
      </c>
      <c r="J3" s="174">
        <v>10</v>
      </c>
      <c r="K3" s="174">
        <v>11</v>
      </c>
      <c r="L3" s="174">
        <v>12</v>
      </c>
      <c r="M3" s="174">
        <v>13</v>
      </c>
      <c r="N3" s="174">
        <v>14</v>
      </c>
      <c r="O3" s="174">
        <v>15</v>
      </c>
      <c r="P3" s="174">
        <v>16</v>
      </c>
      <c r="Q3" s="174">
        <v>17</v>
      </c>
      <c r="R3" s="174">
        <v>18</v>
      </c>
      <c r="S3" s="174">
        <v>19</v>
      </c>
      <c r="T3" s="174">
        <v>20</v>
      </c>
      <c r="U3" s="174">
        <v>21</v>
      </c>
      <c r="V3" s="174">
        <v>22</v>
      </c>
      <c r="W3" s="174">
        <v>23</v>
      </c>
      <c r="X3" s="174">
        <v>24</v>
      </c>
      <c r="Y3" s="174">
        <v>25</v>
      </c>
      <c r="Z3" s="174">
        <v>26</v>
      </c>
      <c r="AA3" s="174">
        <v>27</v>
      </c>
    </row>
    <row r="4" spans="1:27" ht="15">
      <c r="A4" s="176" t="s">
        <v>400</v>
      </c>
      <c r="B4" s="177" t="s">
        <v>399</v>
      </c>
      <c r="C4" s="183">
        <f aca="true" t="shared" si="0" ref="C4:AA4">C5+C23+C34+C43+C51+C66+C73+C84</f>
        <v>1768525.2</v>
      </c>
      <c r="D4" s="183">
        <f t="shared" si="0"/>
        <v>1514</v>
      </c>
      <c r="E4" s="183">
        <f t="shared" si="0"/>
        <v>0</v>
      </c>
      <c r="F4" s="183">
        <f t="shared" si="0"/>
        <v>0</v>
      </c>
      <c r="G4" s="183">
        <f t="shared" si="0"/>
        <v>2769.2</v>
      </c>
      <c r="H4" s="183">
        <f t="shared" si="0"/>
        <v>21558.800000000003</v>
      </c>
      <c r="I4" s="183">
        <f t="shared" si="0"/>
        <v>40.2</v>
      </c>
      <c r="J4" s="183">
        <f t="shared" si="0"/>
        <v>4324.8</v>
      </c>
      <c r="K4" s="183">
        <f t="shared" si="0"/>
        <v>21570.8</v>
      </c>
      <c r="L4" s="183">
        <f t="shared" si="0"/>
        <v>124.6</v>
      </c>
      <c r="M4" s="183">
        <f t="shared" si="0"/>
        <v>91540.4</v>
      </c>
      <c r="N4" s="183">
        <f t="shared" si="0"/>
        <v>2133970.5500000003</v>
      </c>
      <c r="O4" s="183">
        <f t="shared" si="0"/>
        <v>885.0999999999999</v>
      </c>
      <c r="P4" s="183">
        <f t="shared" si="0"/>
        <v>2156.8</v>
      </c>
      <c r="Q4" s="183">
        <f t="shared" si="0"/>
        <v>100</v>
      </c>
      <c r="R4" s="183">
        <f t="shared" si="0"/>
        <v>9843.2</v>
      </c>
      <c r="S4" s="183">
        <f t="shared" si="0"/>
        <v>698043.9000000001</v>
      </c>
      <c r="T4" s="183">
        <f t="shared" si="0"/>
        <v>26726.63</v>
      </c>
      <c r="U4" s="183">
        <f t="shared" si="0"/>
        <v>5152.99</v>
      </c>
      <c r="V4" s="183">
        <f t="shared" si="0"/>
        <v>29076.680000000004</v>
      </c>
      <c r="W4" s="183">
        <f t="shared" si="0"/>
        <v>2957</v>
      </c>
      <c r="X4" s="183">
        <f t="shared" si="0"/>
        <v>0</v>
      </c>
      <c r="Y4" s="183">
        <f t="shared" si="0"/>
        <v>64210.47000000001</v>
      </c>
      <c r="Z4" s="183">
        <f t="shared" si="0"/>
        <v>104995.79000000001</v>
      </c>
      <c r="AA4" s="183">
        <f t="shared" si="0"/>
        <v>311322.0215999999</v>
      </c>
    </row>
    <row r="5" spans="1:27" ht="25.5">
      <c r="A5" s="176" t="s">
        <v>204</v>
      </c>
      <c r="B5" s="177" t="s">
        <v>205</v>
      </c>
      <c r="C5" s="183">
        <f>SUM(C6:C22)</f>
        <v>0</v>
      </c>
      <c r="D5" s="183">
        <f aca="true" t="shared" si="1" ref="D5:N5">SUM(D6:D22)</f>
        <v>0</v>
      </c>
      <c r="E5" s="183">
        <f t="shared" si="1"/>
        <v>0</v>
      </c>
      <c r="F5" s="183">
        <f t="shared" si="1"/>
        <v>0</v>
      </c>
      <c r="G5" s="183">
        <f t="shared" si="1"/>
        <v>1719.3</v>
      </c>
      <c r="H5" s="183">
        <f t="shared" si="1"/>
        <v>0</v>
      </c>
      <c r="I5" s="183">
        <f t="shared" si="1"/>
        <v>0</v>
      </c>
      <c r="J5" s="183">
        <f t="shared" si="1"/>
        <v>248.2</v>
      </c>
      <c r="K5" s="183">
        <f t="shared" si="1"/>
        <v>2565.2</v>
      </c>
      <c r="L5" s="183">
        <f t="shared" si="1"/>
        <v>0</v>
      </c>
      <c r="M5" s="183">
        <f t="shared" si="1"/>
        <v>0</v>
      </c>
      <c r="N5" s="183">
        <f t="shared" si="1"/>
        <v>227792.2</v>
      </c>
      <c r="O5" s="183">
        <f aca="true" t="shared" si="2" ref="O5:AA5">SUM(O6:O22)</f>
        <v>0</v>
      </c>
      <c r="P5" s="183">
        <f t="shared" si="2"/>
        <v>0</v>
      </c>
      <c r="Q5" s="183">
        <f t="shared" si="2"/>
        <v>0</v>
      </c>
      <c r="R5" s="183">
        <f t="shared" si="2"/>
        <v>0</v>
      </c>
      <c r="S5" s="183">
        <f t="shared" si="2"/>
        <v>0</v>
      </c>
      <c r="T5" s="183">
        <f t="shared" si="2"/>
        <v>0</v>
      </c>
      <c r="U5" s="183">
        <f t="shared" si="2"/>
        <v>503.31</v>
      </c>
      <c r="V5" s="183">
        <f t="shared" si="2"/>
        <v>4348.400000000001</v>
      </c>
      <c r="W5" s="183">
        <f t="shared" si="2"/>
        <v>0</v>
      </c>
      <c r="X5" s="183">
        <f t="shared" si="2"/>
        <v>0</v>
      </c>
      <c r="Y5" s="183">
        <f t="shared" si="2"/>
        <v>0</v>
      </c>
      <c r="Z5" s="183">
        <f t="shared" si="2"/>
        <v>46034.52</v>
      </c>
      <c r="AA5" s="183">
        <f t="shared" si="2"/>
        <v>85058.6716</v>
      </c>
    </row>
    <row r="6" spans="1:27" ht="15">
      <c r="A6" s="178" t="s">
        <v>206</v>
      </c>
      <c r="B6" s="179" t="s">
        <v>207</v>
      </c>
      <c r="C6" s="184">
        <v>0</v>
      </c>
      <c r="D6" s="184">
        <v>0</v>
      </c>
      <c r="E6" s="184">
        <v>0</v>
      </c>
      <c r="F6" s="184">
        <v>0</v>
      </c>
      <c r="G6" s="184">
        <v>0</v>
      </c>
      <c r="H6" s="184">
        <v>0</v>
      </c>
      <c r="I6" s="184">
        <v>0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184">
        <v>0</v>
      </c>
      <c r="P6" s="184">
        <v>0</v>
      </c>
      <c r="Q6" s="184">
        <v>0</v>
      </c>
      <c r="R6" s="184">
        <v>0</v>
      </c>
      <c r="S6" s="184">
        <v>0</v>
      </c>
      <c r="T6" s="184"/>
      <c r="U6" s="184">
        <v>0</v>
      </c>
      <c r="V6" s="184">
        <v>2604.9</v>
      </c>
      <c r="W6" s="184">
        <v>0</v>
      </c>
      <c r="X6" s="184">
        <v>0</v>
      </c>
      <c r="Y6" s="184">
        <v>0</v>
      </c>
      <c r="Z6" s="184">
        <v>3096.1</v>
      </c>
      <c r="AA6" s="184">
        <v>13864.24</v>
      </c>
    </row>
    <row r="7" spans="1:27" ht="15">
      <c r="A7" s="178" t="s">
        <v>208</v>
      </c>
      <c r="B7" s="179" t="s">
        <v>209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  <c r="K7" s="184">
        <v>2565.2</v>
      </c>
      <c r="L7" s="184">
        <v>0</v>
      </c>
      <c r="M7" s="184">
        <v>0</v>
      </c>
      <c r="N7" s="184">
        <v>0</v>
      </c>
      <c r="O7" s="184">
        <v>0</v>
      </c>
      <c r="P7" s="184">
        <v>0</v>
      </c>
      <c r="Q7" s="184">
        <v>0</v>
      </c>
      <c r="R7" s="184">
        <v>0</v>
      </c>
      <c r="S7" s="184">
        <v>0</v>
      </c>
      <c r="T7" s="184"/>
      <c r="U7" s="184">
        <v>0</v>
      </c>
      <c r="V7" s="184">
        <v>0</v>
      </c>
      <c r="W7" s="184">
        <v>0</v>
      </c>
      <c r="X7" s="184">
        <v>0</v>
      </c>
      <c r="Y7" s="184">
        <v>0</v>
      </c>
      <c r="Z7" s="184">
        <v>1754.32</v>
      </c>
      <c r="AA7" s="184">
        <v>1.4</v>
      </c>
    </row>
    <row r="8" spans="1:27" ht="15">
      <c r="A8" s="178" t="s">
        <v>210</v>
      </c>
      <c r="B8" s="179" t="s">
        <v>211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4">
        <v>0</v>
      </c>
      <c r="M8" s="184">
        <v>0</v>
      </c>
      <c r="N8" s="184">
        <v>21036.2</v>
      </c>
      <c r="O8" s="184">
        <v>0</v>
      </c>
      <c r="P8" s="184">
        <v>0</v>
      </c>
      <c r="Q8" s="184">
        <v>0</v>
      </c>
      <c r="R8" s="184">
        <v>0</v>
      </c>
      <c r="S8" s="184">
        <v>0</v>
      </c>
      <c r="T8" s="184"/>
      <c r="U8" s="184">
        <v>0</v>
      </c>
      <c r="V8" s="184">
        <v>0</v>
      </c>
      <c r="W8" s="184">
        <v>0</v>
      </c>
      <c r="X8" s="184">
        <v>0</v>
      </c>
      <c r="Y8" s="184">
        <v>0</v>
      </c>
      <c r="Z8" s="184">
        <v>673.5</v>
      </c>
      <c r="AA8" s="184">
        <v>0</v>
      </c>
    </row>
    <row r="9" spans="1:27" ht="15">
      <c r="A9" s="178" t="s">
        <v>212</v>
      </c>
      <c r="B9" s="179" t="s">
        <v>213</v>
      </c>
      <c r="C9" s="184">
        <v>0</v>
      </c>
      <c r="D9" s="184">
        <v>0</v>
      </c>
      <c r="E9" s="184">
        <v>0</v>
      </c>
      <c r="F9" s="184">
        <v>0</v>
      </c>
      <c r="G9" s="184">
        <v>1719.3</v>
      </c>
      <c r="H9" s="184">
        <v>0</v>
      </c>
      <c r="I9" s="184">
        <v>0</v>
      </c>
      <c r="J9" s="184">
        <v>248.2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4">
        <v>0</v>
      </c>
      <c r="T9" s="184"/>
      <c r="U9" s="184">
        <v>0</v>
      </c>
      <c r="V9" s="184">
        <v>1679.1</v>
      </c>
      <c r="W9" s="184">
        <v>0</v>
      </c>
      <c r="X9" s="184">
        <v>0</v>
      </c>
      <c r="Y9">
        <v>0</v>
      </c>
      <c r="Z9" s="184">
        <v>13925.17</v>
      </c>
      <c r="AA9" s="184">
        <v>17920.44</v>
      </c>
    </row>
    <row r="10" spans="1:27" ht="15">
      <c r="A10" s="178" t="s">
        <v>214</v>
      </c>
      <c r="B10" s="179" t="s">
        <v>215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  <c r="T10" s="184"/>
      <c r="U10" s="184">
        <v>0</v>
      </c>
      <c r="V10" s="184">
        <v>0</v>
      </c>
      <c r="W10" s="184">
        <v>0</v>
      </c>
      <c r="X10" s="184">
        <v>0</v>
      </c>
      <c r="Y10" s="184">
        <v>0</v>
      </c>
      <c r="Z10" s="184">
        <v>0</v>
      </c>
      <c r="AA10" s="184">
        <v>0</v>
      </c>
    </row>
    <row r="11" spans="1:27" ht="15">
      <c r="A11" s="178" t="s">
        <v>216</v>
      </c>
      <c r="B11" s="179" t="s">
        <v>217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0</v>
      </c>
      <c r="R11" s="184">
        <v>0</v>
      </c>
      <c r="S11" s="184">
        <v>0</v>
      </c>
      <c r="T11" s="184"/>
      <c r="U11" s="184">
        <v>0</v>
      </c>
      <c r="V11" s="184">
        <v>0</v>
      </c>
      <c r="W11" s="184">
        <v>0</v>
      </c>
      <c r="X11" s="184">
        <v>0</v>
      </c>
      <c r="Y11" s="184">
        <v>0</v>
      </c>
      <c r="Z11" s="184">
        <v>174.7</v>
      </c>
      <c r="AA11" s="184">
        <v>212.2</v>
      </c>
    </row>
    <row r="12" spans="1:27" ht="15">
      <c r="A12" s="178" t="s">
        <v>218</v>
      </c>
      <c r="B12" s="179" t="s">
        <v>219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7" ht="15">
      <c r="A13" s="178" t="s">
        <v>220</v>
      </c>
      <c r="B13" s="179" t="s">
        <v>221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/>
      <c r="U13" s="184">
        <v>0</v>
      </c>
      <c r="V13" s="184">
        <v>47.6</v>
      </c>
      <c r="W13" s="184">
        <v>0</v>
      </c>
      <c r="X13" s="184">
        <v>0</v>
      </c>
      <c r="Y13" s="184">
        <v>0</v>
      </c>
      <c r="Z13" s="184">
        <v>3492.5</v>
      </c>
      <c r="AA13" s="184">
        <v>7062.1</v>
      </c>
    </row>
    <row r="14" spans="1:27" ht="15">
      <c r="A14" s="178" t="s">
        <v>222</v>
      </c>
      <c r="B14" s="179" t="s">
        <v>223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/>
      <c r="U14" s="184">
        <v>0</v>
      </c>
      <c r="V14" s="184">
        <v>0</v>
      </c>
      <c r="W14" s="184">
        <v>0</v>
      </c>
      <c r="X14" s="184">
        <v>0</v>
      </c>
      <c r="Y14" s="184">
        <v>0</v>
      </c>
      <c r="Z14" s="184">
        <v>2811.5</v>
      </c>
      <c r="AA14" s="184">
        <v>4622.7</v>
      </c>
    </row>
    <row r="15" spans="1:27" ht="15">
      <c r="A15" s="178" t="s">
        <v>224</v>
      </c>
      <c r="B15" s="179" t="s">
        <v>225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112485.9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/>
      <c r="U15" s="184">
        <v>154.72</v>
      </c>
      <c r="V15" s="184">
        <v>0</v>
      </c>
      <c r="W15" s="184">
        <v>0</v>
      </c>
      <c r="X15" s="184">
        <v>0</v>
      </c>
      <c r="Y15" s="184">
        <v>0</v>
      </c>
      <c r="Z15" s="184">
        <v>5456.6</v>
      </c>
      <c r="AA15" s="184">
        <v>8743.6516</v>
      </c>
    </row>
    <row r="16" spans="1:27" ht="15">
      <c r="A16" s="178" t="s">
        <v>226</v>
      </c>
      <c r="B16" s="179" t="s">
        <v>227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4">
        <v>0</v>
      </c>
      <c r="T16" s="184"/>
      <c r="U16" s="184">
        <v>0</v>
      </c>
      <c r="V16" s="184">
        <v>0</v>
      </c>
      <c r="W16" s="184">
        <v>0</v>
      </c>
      <c r="X16" s="184">
        <v>0</v>
      </c>
      <c r="Y16" s="184">
        <v>0</v>
      </c>
      <c r="Z16" s="184">
        <v>450.4</v>
      </c>
      <c r="AA16" s="184">
        <v>3858.4</v>
      </c>
    </row>
    <row r="17" spans="1:27" ht="15">
      <c r="A17" s="178" t="s">
        <v>228</v>
      </c>
      <c r="B17" s="179" t="s">
        <v>229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94270.1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4"/>
      <c r="U17" s="184">
        <v>0</v>
      </c>
      <c r="V17" s="184">
        <v>0</v>
      </c>
      <c r="W17" s="184">
        <v>0</v>
      </c>
      <c r="X17" s="184">
        <v>0</v>
      </c>
      <c r="Y17" s="184">
        <v>0</v>
      </c>
      <c r="Z17" s="184">
        <v>3180.65</v>
      </c>
      <c r="AA17" s="184">
        <v>236.7</v>
      </c>
    </row>
    <row r="18" spans="1:27" ht="15">
      <c r="A18" s="178" t="s">
        <v>230</v>
      </c>
      <c r="B18" s="179" t="s">
        <v>231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/>
      <c r="U18" s="184">
        <v>217.89</v>
      </c>
      <c r="V18" s="184">
        <v>16.8</v>
      </c>
      <c r="W18" s="184">
        <v>0</v>
      </c>
      <c r="X18" s="184">
        <v>0</v>
      </c>
      <c r="Y18" s="184">
        <v>0</v>
      </c>
      <c r="Z18" s="184">
        <v>612.3</v>
      </c>
      <c r="AA18" s="184">
        <v>4844.64</v>
      </c>
    </row>
    <row r="19" spans="1:27" ht="15">
      <c r="A19" s="178" t="s">
        <v>232</v>
      </c>
      <c r="B19" s="179" t="s">
        <v>233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/>
      <c r="U19" s="184">
        <v>0</v>
      </c>
      <c r="V19" s="184">
        <v>0</v>
      </c>
      <c r="W19" s="184">
        <v>0</v>
      </c>
      <c r="X19" s="184">
        <v>0</v>
      </c>
      <c r="Y19" s="184">
        <v>0</v>
      </c>
      <c r="Z19" s="184">
        <v>5226.09</v>
      </c>
      <c r="AA19" s="184">
        <v>2098.9</v>
      </c>
    </row>
    <row r="20" spans="1:27" ht="15">
      <c r="A20" s="178" t="s">
        <v>234</v>
      </c>
      <c r="B20" s="179" t="s">
        <v>235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/>
      <c r="U20" s="184">
        <v>128</v>
      </c>
      <c r="V20" s="184">
        <v>0</v>
      </c>
      <c r="W20" s="184">
        <v>0</v>
      </c>
      <c r="X20" s="184">
        <v>0</v>
      </c>
      <c r="Y20" s="184">
        <v>0</v>
      </c>
      <c r="Z20" s="184">
        <v>4058.99</v>
      </c>
      <c r="AA20" s="184">
        <v>1258.3</v>
      </c>
    </row>
    <row r="21" spans="1:27" ht="15">
      <c r="A21" s="178" t="s">
        <v>236</v>
      </c>
      <c r="B21" s="179" t="s">
        <v>237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/>
      <c r="U21" s="184">
        <v>0</v>
      </c>
      <c r="V21" s="184">
        <v>0</v>
      </c>
      <c r="W21" s="184">
        <v>0</v>
      </c>
      <c r="X21" s="184">
        <v>0</v>
      </c>
      <c r="Y21" s="184">
        <v>0</v>
      </c>
      <c r="Z21" s="184">
        <v>1121.7</v>
      </c>
      <c r="AA21" s="184">
        <v>20335</v>
      </c>
    </row>
    <row r="22" spans="1:27" ht="15">
      <c r="A22" s="178" t="s">
        <v>238</v>
      </c>
      <c r="B22" s="179" t="s">
        <v>239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/>
      <c r="U22" s="184">
        <v>2.7</v>
      </c>
      <c r="V22" s="184">
        <v>0</v>
      </c>
      <c r="W22" s="184">
        <v>0</v>
      </c>
      <c r="X22" s="184">
        <v>0</v>
      </c>
      <c r="Y22" s="184">
        <v>0</v>
      </c>
      <c r="Z22" s="184">
        <v>0</v>
      </c>
      <c r="AA22" s="184">
        <v>0</v>
      </c>
    </row>
    <row r="23" spans="1:27" ht="25.5">
      <c r="A23" s="176" t="s">
        <v>240</v>
      </c>
      <c r="B23" s="177" t="s">
        <v>241</v>
      </c>
      <c r="C23" s="183">
        <f>SUM(C24:C33)</f>
        <v>0</v>
      </c>
      <c r="D23" s="183">
        <f aca="true" t="shared" si="3" ref="D23:AA23">SUM(D24:D33)</f>
        <v>0</v>
      </c>
      <c r="E23" s="183">
        <f t="shared" si="3"/>
        <v>0</v>
      </c>
      <c r="F23" s="183">
        <f t="shared" si="3"/>
        <v>0</v>
      </c>
      <c r="G23" s="183">
        <f t="shared" si="3"/>
        <v>0</v>
      </c>
      <c r="H23" s="183">
        <f t="shared" si="3"/>
        <v>0</v>
      </c>
      <c r="I23" s="183">
        <f t="shared" si="3"/>
        <v>0</v>
      </c>
      <c r="J23" s="183">
        <f t="shared" si="3"/>
        <v>0</v>
      </c>
      <c r="K23" s="183">
        <f t="shared" si="3"/>
        <v>0</v>
      </c>
      <c r="L23" s="183">
        <f t="shared" si="3"/>
        <v>0</v>
      </c>
      <c r="M23" s="183">
        <f t="shared" si="3"/>
        <v>0</v>
      </c>
      <c r="N23" s="183">
        <f t="shared" si="3"/>
        <v>0</v>
      </c>
      <c r="O23" s="183">
        <f t="shared" si="3"/>
        <v>0</v>
      </c>
      <c r="P23" s="183">
        <f t="shared" si="3"/>
        <v>0</v>
      </c>
      <c r="Q23" s="183">
        <f t="shared" si="3"/>
        <v>0</v>
      </c>
      <c r="R23" s="183">
        <f t="shared" si="3"/>
        <v>0</v>
      </c>
      <c r="S23" s="183">
        <f t="shared" si="3"/>
        <v>0</v>
      </c>
      <c r="T23" s="183">
        <f t="shared" si="3"/>
        <v>0</v>
      </c>
      <c r="U23" s="183">
        <f t="shared" si="3"/>
        <v>1573.82</v>
      </c>
      <c r="V23" s="183">
        <f t="shared" si="3"/>
        <v>88.72</v>
      </c>
      <c r="W23" s="183">
        <f t="shared" si="3"/>
        <v>15</v>
      </c>
      <c r="X23" s="183">
        <f t="shared" si="3"/>
        <v>0</v>
      </c>
      <c r="Y23" s="183">
        <f t="shared" si="3"/>
        <v>21.52</v>
      </c>
      <c r="Z23" s="183">
        <f t="shared" si="3"/>
        <v>584.47</v>
      </c>
      <c r="AA23" s="183">
        <f t="shared" si="3"/>
        <v>6204.54</v>
      </c>
    </row>
    <row r="24" spans="1:27" ht="15">
      <c r="A24" s="178" t="s">
        <v>242</v>
      </c>
      <c r="B24" s="179" t="s">
        <v>243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/>
      <c r="U24" s="184">
        <v>0</v>
      </c>
      <c r="V24" s="184">
        <v>0</v>
      </c>
      <c r="W24" s="184">
        <v>0</v>
      </c>
      <c r="X24" s="184">
        <v>0</v>
      </c>
      <c r="Y24" s="184">
        <v>0</v>
      </c>
      <c r="Z24" s="184">
        <v>0</v>
      </c>
      <c r="AA24" s="184">
        <v>0</v>
      </c>
    </row>
    <row r="25" spans="1:27" ht="15">
      <c r="A25" s="178" t="s">
        <v>244</v>
      </c>
      <c r="B25" s="179" t="s">
        <v>245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/>
      <c r="U25" s="184">
        <v>0</v>
      </c>
      <c r="V25" s="184">
        <v>0</v>
      </c>
      <c r="W25" s="184">
        <v>15</v>
      </c>
      <c r="X25" s="184">
        <v>0</v>
      </c>
      <c r="Y25" s="184">
        <v>0.73</v>
      </c>
      <c r="Z25" s="184">
        <v>0</v>
      </c>
      <c r="AA25" s="184">
        <v>669.2</v>
      </c>
    </row>
    <row r="26" spans="1:27" ht="15">
      <c r="A26" s="178" t="s">
        <v>246</v>
      </c>
      <c r="B26" s="179" t="s">
        <v>247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/>
      <c r="U26" s="184">
        <v>103.88</v>
      </c>
      <c r="V26" s="184">
        <v>0</v>
      </c>
      <c r="W26" s="184">
        <v>0</v>
      </c>
      <c r="X26" s="184">
        <v>0</v>
      </c>
      <c r="Y26" s="184">
        <v>0</v>
      </c>
      <c r="Z26" s="184">
        <v>0</v>
      </c>
      <c r="AA26" s="184">
        <v>263.8</v>
      </c>
    </row>
    <row r="27" spans="1:27" ht="15">
      <c r="A27" s="178" t="s">
        <v>248</v>
      </c>
      <c r="B27" s="179" t="s">
        <v>249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/>
      <c r="U27" s="184">
        <v>36.7</v>
      </c>
      <c r="V27" s="184">
        <v>26.7</v>
      </c>
      <c r="W27" s="184">
        <v>0</v>
      </c>
      <c r="X27" s="184">
        <v>0</v>
      </c>
      <c r="Y27" s="184">
        <v>0</v>
      </c>
      <c r="Z27" s="184">
        <v>0</v>
      </c>
      <c r="AA27" s="184">
        <v>0</v>
      </c>
    </row>
    <row r="28" spans="1:27" ht="15">
      <c r="A28" s="178" t="s">
        <v>250</v>
      </c>
      <c r="B28" s="179" t="s">
        <v>251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</row>
    <row r="29" spans="1:27" ht="15">
      <c r="A29" s="178" t="s">
        <v>252</v>
      </c>
      <c r="B29" s="179" t="s">
        <v>253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/>
      <c r="U29" s="184">
        <v>1385.44</v>
      </c>
      <c r="V29" s="184">
        <v>57.02</v>
      </c>
      <c r="W29" s="184">
        <v>0</v>
      </c>
      <c r="X29" s="184">
        <v>0</v>
      </c>
      <c r="Y29" s="184">
        <v>20.49</v>
      </c>
      <c r="Z29" s="184">
        <v>67.77</v>
      </c>
      <c r="AA29" s="184">
        <v>96.13</v>
      </c>
    </row>
    <row r="30" spans="1:27" ht="15">
      <c r="A30" s="178" t="s">
        <v>254</v>
      </c>
      <c r="B30" s="179" t="s">
        <v>255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/>
      <c r="U30" s="184">
        <v>0</v>
      </c>
      <c r="V30" s="184">
        <v>0</v>
      </c>
      <c r="W30" s="184">
        <v>0</v>
      </c>
      <c r="X30" s="184">
        <v>0</v>
      </c>
      <c r="Y30" s="184">
        <v>0</v>
      </c>
      <c r="Z30" s="184">
        <v>0</v>
      </c>
      <c r="AA30" s="184">
        <v>2033.2</v>
      </c>
    </row>
    <row r="31" spans="1:27" ht="15">
      <c r="A31" s="178" t="s">
        <v>256</v>
      </c>
      <c r="B31" s="179" t="s">
        <v>257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/>
      <c r="U31" s="184">
        <v>43.3</v>
      </c>
      <c r="V31" s="184">
        <v>5</v>
      </c>
      <c r="W31" s="184">
        <v>0</v>
      </c>
      <c r="X31" s="184">
        <v>0</v>
      </c>
      <c r="Y31" s="184">
        <v>0</v>
      </c>
      <c r="Z31" s="184">
        <v>0</v>
      </c>
      <c r="AA31" s="184">
        <v>2800.95</v>
      </c>
    </row>
    <row r="32" spans="1:27" ht="15">
      <c r="A32" s="178" t="s">
        <v>258</v>
      </c>
      <c r="B32" s="179" t="s">
        <v>259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/>
      <c r="U32" s="184">
        <v>4.5</v>
      </c>
      <c r="V32" s="184">
        <v>0</v>
      </c>
      <c r="W32" s="184">
        <v>0</v>
      </c>
      <c r="X32" s="184">
        <v>0</v>
      </c>
      <c r="Y32" s="184">
        <v>0.3</v>
      </c>
      <c r="Z32" s="184">
        <v>516.7</v>
      </c>
      <c r="AA32" s="184">
        <v>341.26</v>
      </c>
    </row>
    <row r="33" spans="1:27" ht="15">
      <c r="A33" s="178" t="s">
        <v>260</v>
      </c>
      <c r="B33" s="179" t="s">
        <v>261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</row>
    <row r="34" spans="1:27" ht="15">
      <c r="A34" s="176" t="s">
        <v>262</v>
      </c>
      <c r="B34" s="177" t="s">
        <v>263</v>
      </c>
      <c r="C34" s="183">
        <f>SUM(C35:C42)</f>
        <v>0</v>
      </c>
      <c r="D34" s="183">
        <f aca="true" t="shared" si="4" ref="D34:M34">SUM(D35:D42)</f>
        <v>1514</v>
      </c>
      <c r="E34" s="183">
        <f t="shared" si="4"/>
        <v>0</v>
      </c>
      <c r="F34" s="183">
        <f t="shared" si="4"/>
        <v>0</v>
      </c>
      <c r="G34" s="183">
        <f t="shared" si="4"/>
        <v>490.9</v>
      </c>
      <c r="H34" s="183">
        <f t="shared" si="4"/>
        <v>20275.4</v>
      </c>
      <c r="I34" s="183">
        <f t="shared" si="4"/>
        <v>5</v>
      </c>
      <c r="J34" s="183">
        <f t="shared" si="4"/>
        <v>4076.6</v>
      </c>
      <c r="K34" s="183">
        <f t="shared" si="4"/>
        <v>6580</v>
      </c>
      <c r="L34" s="183">
        <f t="shared" si="4"/>
        <v>0</v>
      </c>
      <c r="M34" s="183">
        <f t="shared" si="4"/>
        <v>91511.4</v>
      </c>
      <c r="N34" s="183">
        <f aca="true" t="shared" si="5" ref="N34:AA34">SUM(N35:N42)</f>
        <v>177.9</v>
      </c>
      <c r="O34" s="183">
        <f t="shared" si="5"/>
        <v>382.79999999999995</v>
      </c>
      <c r="P34" s="183">
        <f t="shared" si="5"/>
        <v>2012.4</v>
      </c>
      <c r="Q34" s="183">
        <f t="shared" si="5"/>
        <v>0</v>
      </c>
      <c r="R34" s="183">
        <f t="shared" si="5"/>
        <v>6444.700000000001</v>
      </c>
      <c r="S34" s="183">
        <f t="shared" si="5"/>
        <v>661857.9</v>
      </c>
      <c r="T34" s="183">
        <f t="shared" si="5"/>
        <v>0</v>
      </c>
      <c r="U34" s="183">
        <f t="shared" si="5"/>
        <v>0</v>
      </c>
      <c r="V34" s="183">
        <f t="shared" si="5"/>
        <v>869.2</v>
      </c>
      <c r="W34" s="183">
        <f t="shared" si="5"/>
        <v>37</v>
      </c>
      <c r="X34" s="183">
        <f t="shared" si="5"/>
        <v>0</v>
      </c>
      <c r="Y34" s="183">
        <f t="shared" si="5"/>
        <v>6960.18</v>
      </c>
      <c r="Z34" s="183">
        <f t="shared" si="5"/>
        <v>4912.8</v>
      </c>
      <c r="AA34" s="183">
        <f t="shared" si="5"/>
        <v>34101.81</v>
      </c>
    </row>
    <row r="35" spans="1:27" ht="15">
      <c r="A35" s="178" t="s">
        <v>264</v>
      </c>
      <c r="B35" s="179" t="s">
        <v>265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317.7</v>
      </c>
      <c r="P35" s="184">
        <v>0</v>
      </c>
      <c r="Q35" s="184">
        <v>0</v>
      </c>
      <c r="R35" s="184">
        <v>0</v>
      </c>
      <c r="S35" s="184">
        <v>24677.9</v>
      </c>
      <c r="T35" s="184"/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4">
        <v>5280.6</v>
      </c>
    </row>
    <row r="36" spans="1:27" ht="15">
      <c r="A36" s="178" t="s">
        <v>266</v>
      </c>
      <c r="B36" s="179" t="s">
        <v>267</v>
      </c>
      <c r="C36" s="184">
        <v>0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111.9</v>
      </c>
      <c r="S36" s="184">
        <v>458.4</v>
      </c>
      <c r="T36" s="184"/>
      <c r="U36" s="184">
        <v>0</v>
      </c>
      <c r="V36" s="184">
        <v>0</v>
      </c>
      <c r="W36" s="184">
        <v>0</v>
      </c>
      <c r="X36" s="184">
        <v>0</v>
      </c>
      <c r="Y36" s="184">
        <v>0</v>
      </c>
      <c r="Z36" s="184">
        <v>0</v>
      </c>
      <c r="AA36" s="184">
        <v>0.7</v>
      </c>
    </row>
    <row r="37" spans="1:27" ht="15">
      <c r="A37" s="180" t="s">
        <v>268</v>
      </c>
      <c r="B37" s="181" t="s">
        <v>269</v>
      </c>
      <c r="C37" s="185">
        <v>0</v>
      </c>
      <c r="D37" s="185">
        <v>0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185"/>
      <c r="U37" s="185">
        <v>0</v>
      </c>
      <c r="V37" s="185">
        <v>869.2</v>
      </c>
      <c r="W37" s="185">
        <v>0</v>
      </c>
      <c r="X37" s="185">
        <v>0</v>
      </c>
      <c r="Y37" s="185">
        <v>407.5</v>
      </c>
      <c r="Z37" s="185">
        <v>0</v>
      </c>
      <c r="AA37" s="185">
        <v>243.7</v>
      </c>
    </row>
    <row r="38" spans="1:27" ht="15">
      <c r="A38" s="178" t="s">
        <v>270</v>
      </c>
      <c r="B38" s="179" t="s">
        <v>271</v>
      </c>
      <c r="C38" s="184"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90912.7</v>
      </c>
      <c r="N38" s="184">
        <v>0</v>
      </c>
      <c r="O38" s="184">
        <v>65.1</v>
      </c>
      <c r="P38" s="184">
        <v>106.5</v>
      </c>
      <c r="Q38" s="184">
        <v>0</v>
      </c>
      <c r="R38" s="184">
        <v>330.7</v>
      </c>
      <c r="S38" s="184">
        <v>635095</v>
      </c>
      <c r="T38" s="184"/>
      <c r="U38" s="184">
        <v>0</v>
      </c>
      <c r="V38" s="184">
        <v>0</v>
      </c>
      <c r="W38" s="184">
        <v>0</v>
      </c>
      <c r="X38" s="184">
        <v>0</v>
      </c>
      <c r="Y38" s="184">
        <v>5633.18</v>
      </c>
      <c r="Z38" s="184">
        <v>4.1</v>
      </c>
      <c r="AA38" s="184">
        <v>26543.21</v>
      </c>
    </row>
    <row r="39" spans="1:27" ht="15">
      <c r="A39" s="178" t="s">
        <v>272</v>
      </c>
      <c r="B39" s="179" t="s">
        <v>273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150.2</v>
      </c>
      <c r="S39" s="184">
        <v>24.1</v>
      </c>
      <c r="T39" s="184"/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4">
        <v>54.7</v>
      </c>
    </row>
    <row r="40" spans="1:27" ht="15">
      <c r="A40" s="178" t="s">
        <v>274</v>
      </c>
      <c r="B40" s="179" t="s">
        <v>275</v>
      </c>
      <c r="C40" s="184">
        <v>0</v>
      </c>
      <c r="D40" s="184">
        <v>280.8</v>
      </c>
      <c r="E40" s="184">
        <v>0</v>
      </c>
      <c r="F40" s="184">
        <v>0</v>
      </c>
      <c r="G40" s="184">
        <v>0</v>
      </c>
      <c r="H40" s="184">
        <v>9586.2</v>
      </c>
      <c r="I40" s="184">
        <v>5</v>
      </c>
      <c r="J40" s="184">
        <v>4007.2</v>
      </c>
      <c r="K40" s="184">
        <v>6377.3</v>
      </c>
      <c r="L40" s="184">
        <v>0</v>
      </c>
      <c r="M40" s="184">
        <v>0</v>
      </c>
      <c r="N40" s="184">
        <v>25.4</v>
      </c>
      <c r="O40" s="184">
        <v>0</v>
      </c>
      <c r="P40" s="184">
        <v>1813</v>
      </c>
      <c r="Q40" s="184">
        <v>0</v>
      </c>
      <c r="R40" s="184">
        <v>4677.5</v>
      </c>
      <c r="S40" s="184">
        <v>465</v>
      </c>
      <c r="T40" s="184"/>
      <c r="U40" s="184">
        <v>0</v>
      </c>
      <c r="V40" s="184">
        <v>0</v>
      </c>
      <c r="W40" s="184">
        <v>0</v>
      </c>
      <c r="X40" s="184">
        <v>0</v>
      </c>
      <c r="Y40" s="184">
        <v>0</v>
      </c>
      <c r="Z40" s="184">
        <v>0.6</v>
      </c>
      <c r="AA40" s="184">
        <v>23</v>
      </c>
    </row>
    <row r="41" spans="1:27" ht="15">
      <c r="A41" s="178" t="s">
        <v>276</v>
      </c>
      <c r="B41" s="179" t="s">
        <v>277</v>
      </c>
      <c r="C41" s="184">
        <v>0</v>
      </c>
      <c r="D41" s="184">
        <v>1233.2</v>
      </c>
      <c r="E41" s="184">
        <v>0</v>
      </c>
      <c r="F41" s="184">
        <v>0</v>
      </c>
      <c r="G41" s="184">
        <v>490.9</v>
      </c>
      <c r="H41" s="184">
        <v>10689.2</v>
      </c>
      <c r="I41" s="184">
        <v>0</v>
      </c>
      <c r="J41" s="184">
        <v>69.4</v>
      </c>
      <c r="K41" s="184">
        <v>202.7</v>
      </c>
      <c r="L41" s="184">
        <v>0</v>
      </c>
      <c r="M41" s="184">
        <v>598.7</v>
      </c>
      <c r="N41" s="184">
        <v>152.5</v>
      </c>
      <c r="O41" s="184">
        <v>0</v>
      </c>
      <c r="P41" s="184">
        <v>92.9</v>
      </c>
      <c r="Q41" s="184">
        <v>0</v>
      </c>
      <c r="R41" s="184">
        <v>1174.4</v>
      </c>
      <c r="S41" s="184">
        <v>1137.5</v>
      </c>
      <c r="T41" s="184"/>
      <c r="U41" s="184">
        <v>0</v>
      </c>
      <c r="V41" s="184">
        <v>0</v>
      </c>
      <c r="W41" s="184">
        <v>37</v>
      </c>
      <c r="X41" s="184">
        <v>0</v>
      </c>
      <c r="Y41" s="184">
        <v>919.5</v>
      </c>
      <c r="Z41" s="184">
        <v>4908.1</v>
      </c>
      <c r="AA41" s="184">
        <v>1955.9</v>
      </c>
    </row>
    <row r="42" spans="1:27" ht="15">
      <c r="A42" s="180" t="s">
        <v>278</v>
      </c>
      <c r="B42" s="181" t="s">
        <v>279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</row>
    <row r="43" spans="1:27" ht="25.5">
      <c r="A43" s="176" t="s">
        <v>280</v>
      </c>
      <c r="B43" s="177" t="s">
        <v>281</v>
      </c>
      <c r="C43" s="183">
        <f>SUM(C44:C50)</f>
        <v>0</v>
      </c>
      <c r="D43" s="183">
        <f aca="true" t="shared" si="6" ref="D43:AA43">SUM(D44:D50)</f>
        <v>0</v>
      </c>
      <c r="E43" s="183">
        <f t="shared" si="6"/>
        <v>0</v>
      </c>
      <c r="F43" s="183">
        <f t="shared" si="6"/>
        <v>0</v>
      </c>
      <c r="G43" s="183">
        <f t="shared" si="6"/>
        <v>0</v>
      </c>
      <c r="H43" s="183">
        <f t="shared" si="6"/>
        <v>0</v>
      </c>
      <c r="I43" s="183">
        <f t="shared" si="6"/>
        <v>0</v>
      </c>
      <c r="J43" s="183">
        <f t="shared" si="6"/>
        <v>0</v>
      </c>
      <c r="K43" s="183">
        <f t="shared" si="6"/>
        <v>0</v>
      </c>
      <c r="L43" s="183">
        <f t="shared" si="6"/>
        <v>0</v>
      </c>
      <c r="M43" s="183">
        <f t="shared" si="6"/>
        <v>0</v>
      </c>
      <c r="N43" s="183">
        <f t="shared" si="6"/>
        <v>1045.2</v>
      </c>
      <c r="O43" s="183">
        <f t="shared" si="6"/>
        <v>502.3</v>
      </c>
      <c r="P43" s="183">
        <f t="shared" si="6"/>
        <v>0</v>
      </c>
      <c r="Q43" s="183">
        <f t="shared" si="6"/>
        <v>100</v>
      </c>
      <c r="R43" s="183">
        <f t="shared" si="6"/>
        <v>4.3</v>
      </c>
      <c r="S43" s="183">
        <f t="shared" si="6"/>
        <v>4854.3</v>
      </c>
      <c r="T43" s="183">
        <f t="shared" si="6"/>
        <v>0</v>
      </c>
      <c r="U43" s="183">
        <f t="shared" si="6"/>
        <v>0</v>
      </c>
      <c r="V43" s="183">
        <f t="shared" si="6"/>
        <v>0</v>
      </c>
      <c r="W43" s="183">
        <f t="shared" si="6"/>
        <v>0</v>
      </c>
      <c r="X43" s="183">
        <f t="shared" si="6"/>
        <v>0</v>
      </c>
      <c r="Y43" s="183">
        <f t="shared" si="6"/>
        <v>38.8</v>
      </c>
      <c r="Z43" s="183">
        <f t="shared" si="6"/>
        <v>0</v>
      </c>
      <c r="AA43" s="183">
        <f t="shared" si="6"/>
        <v>5913.5</v>
      </c>
    </row>
    <row r="44" spans="1:27" ht="15">
      <c r="A44" s="178" t="s">
        <v>282</v>
      </c>
      <c r="B44" s="179" t="s">
        <v>283</v>
      </c>
      <c r="C44" s="184">
        <v>0</v>
      </c>
      <c r="D44" s="184">
        <v>0</v>
      </c>
      <c r="E44" s="184">
        <v>0</v>
      </c>
      <c r="F44" s="184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1045.2</v>
      </c>
      <c r="O44" s="184">
        <v>0</v>
      </c>
      <c r="P44" s="184">
        <v>0</v>
      </c>
      <c r="Q44" s="184">
        <v>100</v>
      </c>
      <c r="R44" s="184">
        <v>0</v>
      </c>
      <c r="S44" s="184">
        <v>3768.8</v>
      </c>
      <c r="T44" s="184"/>
      <c r="U44" s="184">
        <v>0</v>
      </c>
      <c r="V44" s="184">
        <v>0</v>
      </c>
      <c r="W44" s="184">
        <v>0</v>
      </c>
      <c r="X44" s="184">
        <v>0</v>
      </c>
      <c r="Y44" s="184">
        <v>0</v>
      </c>
      <c r="Z44" s="184">
        <v>0</v>
      </c>
      <c r="AA44" s="184">
        <v>0</v>
      </c>
    </row>
    <row r="45" spans="1:27" ht="15">
      <c r="A45" s="178" t="s">
        <v>284</v>
      </c>
      <c r="B45" s="179" t="s">
        <v>285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</row>
    <row r="46" spans="1:27" ht="25.5">
      <c r="A46" s="178" t="s">
        <v>286</v>
      </c>
      <c r="B46" s="179" t="s">
        <v>287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502.3</v>
      </c>
      <c r="P46" s="184">
        <v>0</v>
      </c>
      <c r="Q46" s="184">
        <v>0</v>
      </c>
      <c r="R46" s="184">
        <v>0</v>
      </c>
      <c r="S46" s="184">
        <v>0</v>
      </c>
      <c r="T46" s="184"/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84">
        <v>0</v>
      </c>
      <c r="AA46" s="184">
        <v>3865.9</v>
      </c>
    </row>
    <row r="47" spans="1:27" ht="25.5">
      <c r="A47" s="178" t="s">
        <v>288</v>
      </c>
      <c r="B47" s="179" t="s">
        <v>289</v>
      </c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282.5</v>
      </c>
      <c r="T47" s="184"/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427.8</v>
      </c>
    </row>
    <row r="48" spans="1:27" ht="25.5">
      <c r="A48" s="178" t="s">
        <v>290</v>
      </c>
      <c r="B48" s="179" t="s">
        <v>291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</row>
    <row r="49" spans="1:27" ht="15">
      <c r="A49" s="178" t="s">
        <v>292</v>
      </c>
      <c r="B49" s="179" t="s">
        <v>293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</row>
    <row r="50" spans="1:27" ht="15">
      <c r="A50" s="178" t="s">
        <v>294</v>
      </c>
      <c r="B50" s="179" t="s">
        <v>295</v>
      </c>
      <c r="C50" s="184">
        <v>0</v>
      </c>
      <c r="D50" s="184">
        <v>0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4.3</v>
      </c>
      <c r="S50" s="184">
        <v>803</v>
      </c>
      <c r="T50" s="184"/>
      <c r="U50" s="184">
        <v>0</v>
      </c>
      <c r="V50" s="184">
        <v>0</v>
      </c>
      <c r="W50" s="184">
        <v>0</v>
      </c>
      <c r="X50" s="184">
        <v>0</v>
      </c>
      <c r="Y50" s="184">
        <v>38.8</v>
      </c>
      <c r="Z50" s="184">
        <v>0</v>
      </c>
      <c r="AA50" s="184">
        <v>1619.8</v>
      </c>
    </row>
    <row r="51" spans="1:27" ht="25.5">
      <c r="A51" s="176" t="s">
        <v>296</v>
      </c>
      <c r="B51" s="177" t="s">
        <v>297</v>
      </c>
      <c r="C51" s="183">
        <f>SUM(C52:C65)</f>
        <v>0</v>
      </c>
      <c r="D51" s="183">
        <f aca="true" t="shared" si="7" ref="D51:AA51">SUM(D52:D65)</f>
        <v>0</v>
      </c>
      <c r="E51" s="183">
        <f t="shared" si="7"/>
        <v>0</v>
      </c>
      <c r="F51" s="183">
        <f t="shared" si="7"/>
        <v>0</v>
      </c>
      <c r="G51" s="183">
        <f t="shared" si="7"/>
        <v>0</v>
      </c>
      <c r="H51" s="183">
        <f t="shared" si="7"/>
        <v>776.2</v>
      </c>
      <c r="I51" s="183">
        <f t="shared" si="7"/>
        <v>0</v>
      </c>
      <c r="J51" s="183">
        <f t="shared" si="7"/>
        <v>0</v>
      </c>
      <c r="K51" s="183">
        <f t="shared" si="7"/>
        <v>10538.8</v>
      </c>
      <c r="L51" s="183">
        <f t="shared" si="7"/>
        <v>124.6</v>
      </c>
      <c r="M51" s="183">
        <f t="shared" si="7"/>
        <v>0</v>
      </c>
      <c r="N51" s="183">
        <f t="shared" si="7"/>
        <v>1554255.7899999998</v>
      </c>
      <c r="O51" s="183">
        <f t="shared" si="7"/>
        <v>0</v>
      </c>
      <c r="P51" s="183">
        <f t="shared" si="7"/>
        <v>0</v>
      </c>
      <c r="Q51" s="183">
        <f t="shared" si="7"/>
        <v>0</v>
      </c>
      <c r="R51" s="183">
        <f t="shared" si="7"/>
        <v>3394.2</v>
      </c>
      <c r="S51" s="183">
        <f t="shared" si="7"/>
        <v>28830.8</v>
      </c>
      <c r="T51" s="183">
        <f t="shared" si="7"/>
        <v>102.77</v>
      </c>
      <c r="U51" s="183">
        <f t="shared" si="7"/>
        <v>2766.36</v>
      </c>
      <c r="V51" s="183">
        <f t="shared" si="7"/>
        <v>18596.420000000002</v>
      </c>
      <c r="W51" s="183">
        <f t="shared" si="7"/>
        <v>2882.5</v>
      </c>
      <c r="X51" s="183">
        <f t="shared" si="7"/>
        <v>0</v>
      </c>
      <c r="Y51" s="183">
        <f t="shared" si="7"/>
        <v>166.09</v>
      </c>
      <c r="Z51" s="183">
        <f t="shared" si="7"/>
        <v>50864.51</v>
      </c>
      <c r="AA51" s="183">
        <f t="shared" si="7"/>
        <v>75442.24</v>
      </c>
    </row>
    <row r="52" spans="1:27" ht="15">
      <c r="A52" s="178" t="s">
        <v>298</v>
      </c>
      <c r="B52" s="179" t="s">
        <v>299</v>
      </c>
      <c r="C52" s="184">
        <v>0</v>
      </c>
      <c r="D52" s="184">
        <v>0</v>
      </c>
      <c r="E52" s="184">
        <v>0</v>
      </c>
      <c r="F52" s="184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1352696.4</v>
      </c>
      <c r="O52" s="184">
        <v>0</v>
      </c>
      <c r="P52" s="184">
        <v>0</v>
      </c>
      <c r="Q52" s="184">
        <v>0</v>
      </c>
      <c r="R52" s="184">
        <v>0</v>
      </c>
      <c r="S52" s="184">
        <v>26664.7</v>
      </c>
      <c r="T52" s="184"/>
      <c r="U52" s="184">
        <v>0</v>
      </c>
      <c r="V52" s="184">
        <v>16302.7</v>
      </c>
      <c r="W52" s="184">
        <v>0</v>
      </c>
      <c r="X52" s="184">
        <v>0</v>
      </c>
      <c r="Y52" s="184">
        <v>0</v>
      </c>
      <c r="Z52" s="184">
        <v>133.8</v>
      </c>
      <c r="AA52" s="184">
        <v>681.2</v>
      </c>
    </row>
    <row r="53" spans="1:27" ht="15">
      <c r="A53" s="178" t="s">
        <v>300</v>
      </c>
      <c r="B53" s="179" t="s">
        <v>301</v>
      </c>
      <c r="C53" s="184">
        <v>0</v>
      </c>
      <c r="D53" s="184">
        <v>0</v>
      </c>
      <c r="E53" s="184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/>
      <c r="U53" s="184">
        <v>0</v>
      </c>
      <c r="V53" s="184">
        <v>0</v>
      </c>
      <c r="W53" s="184">
        <v>816.4</v>
      </c>
      <c r="X53" s="184">
        <v>0</v>
      </c>
      <c r="Y53" s="184">
        <v>102.2</v>
      </c>
      <c r="Z53" s="184">
        <v>3673.2</v>
      </c>
      <c r="AA53" s="184">
        <v>236.1</v>
      </c>
    </row>
    <row r="54" spans="1:27" ht="15">
      <c r="A54" s="178" t="s">
        <v>302</v>
      </c>
      <c r="B54" s="179" t="s">
        <v>303</v>
      </c>
      <c r="C54" s="184">
        <v>0</v>
      </c>
      <c r="D54" s="184">
        <v>0</v>
      </c>
      <c r="E54" s="184">
        <v>0</v>
      </c>
      <c r="F54" s="184">
        <v>0</v>
      </c>
      <c r="G54" s="184">
        <v>0</v>
      </c>
      <c r="H54" s="184">
        <v>0</v>
      </c>
      <c r="I54" s="184">
        <v>0</v>
      </c>
      <c r="J54" s="184">
        <v>0</v>
      </c>
      <c r="K54" s="184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/>
      <c r="U54" s="184">
        <v>0</v>
      </c>
      <c r="V54" s="184">
        <v>0</v>
      </c>
      <c r="W54" s="184">
        <v>0</v>
      </c>
      <c r="X54" s="184">
        <v>0</v>
      </c>
      <c r="Y54" s="184">
        <v>0</v>
      </c>
      <c r="Z54" s="184">
        <v>9022.4</v>
      </c>
      <c r="AA54" s="184">
        <v>972.1</v>
      </c>
    </row>
    <row r="55" spans="1:27" ht="15">
      <c r="A55" s="178" t="s">
        <v>304</v>
      </c>
      <c r="B55" s="179" t="s">
        <v>305</v>
      </c>
      <c r="C55" s="184">
        <v>0</v>
      </c>
      <c r="D55" s="184">
        <v>0</v>
      </c>
      <c r="E55" s="184">
        <v>0</v>
      </c>
      <c r="F55" s="184">
        <v>0</v>
      </c>
      <c r="G55" s="184">
        <v>0</v>
      </c>
      <c r="H55" s="184">
        <v>294.6</v>
      </c>
      <c r="I55" s="184">
        <v>0</v>
      </c>
      <c r="J55" s="184">
        <v>0</v>
      </c>
      <c r="K55" s="184">
        <v>0</v>
      </c>
      <c r="L55" s="184">
        <v>124.6</v>
      </c>
      <c r="M55" s="184">
        <v>0</v>
      </c>
      <c r="N55" s="184">
        <v>132073.2</v>
      </c>
      <c r="O55" s="184">
        <v>0</v>
      </c>
      <c r="P55" s="184">
        <v>0</v>
      </c>
      <c r="Q55" s="184">
        <v>0</v>
      </c>
      <c r="R55" s="184">
        <v>817.3</v>
      </c>
      <c r="S55" s="184">
        <v>2092.2</v>
      </c>
      <c r="T55" s="184"/>
      <c r="U55" s="184">
        <v>668.7</v>
      </c>
      <c r="V55" s="184">
        <v>517</v>
      </c>
      <c r="W55" s="184">
        <v>0</v>
      </c>
      <c r="X55" s="184">
        <v>0</v>
      </c>
      <c r="Y55" s="184">
        <v>0</v>
      </c>
      <c r="Z55" s="184">
        <v>1866.3</v>
      </c>
      <c r="AA55" s="184">
        <v>21730.8</v>
      </c>
    </row>
    <row r="56" spans="1:27" ht="15">
      <c r="A56" s="178" t="s">
        <v>306</v>
      </c>
      <c r="B56" s="179" t="s">
        <v>307</v>
      </c>
      <c r="C56" s="184">
        <v>0</v>
      </c>
      <c r="D56" s="184">
        <v>0</v>
      </c>
      <c r="E56" s="184">
        <v>0</v>
      </c>
      <c r="F56" s="184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4">
        <v>35.6</v>
      </c>
      <c r="T56" s="184">
        <v>102.77</v>
      </c>
      <c r="U56" s="184">
        <v>62.34</v>
      </c>
      <c r="V56" s="184">
        <v>0</v>
      </c>
      <c r="W56" s="184">
        <v>0</v>
      </c>
      <c r="X56" s="184">
        <v>0</v>
      </c>
      <c r="Y56" s="184">
        <v>63.89</v>
      </c>
      <c r="Z56" s="184">
        <v>9401.82</v>
      </c>
      <c r="AA56" s="184">
        <v>14200.33</v>
      </c>
    </row>
    <row r="57" spans="1:27" ht="15">
      <c r="A57" s="178" t="s">
        <v>308</v>
      </c>
      <c r="B57" s="179" t="s">
        <v>309</v>
      </c>
      <c r="C57" s="184">
        <v>0</v>
      </c>
      <c r="D57" s="184">
        <v>0</v>
      </c>
      <c r="E57" s="184">
        <v>0</v>
      </c>
      <c r="F57" s="184">
        <v>0</v>
      </c>
      <c r="G57" s="184">
        <v>0</v>
      </c>
      <c r="H57" s="184">
        <v>0</v>
      </c>
      <c r="I57" s="184">
        <v>0</v>
      </c>
      <c r="J57" s="184">
        <v>0</v>
      </c>
      <c r="K57" s="184">
        <v>0</v>
      </c>
      <c r="L57" s="184">
        <v>0</v>
      </c>
      <c r="M57" s="184">
        <v>0</v>
      </c>
      <c r="N57" s="184">
        <v>61.6</v>
      </c>
      <c r="O57" s="184">
        <v>0</v>
      </c>
      <c r="P57" s="184">
        <v>0</v>
      </c>
      <c r="Q57" s="184">
        <v>0</v>
      </c>
      <c r="R57" s="184">
        <v>424.5</v>
      </c>
      <c r="S57" s="184">
        <v>0</v>
      </c>
      <c r="T57" s="184"/>
      <c r="U57" s="184">
        <v>0</v>
      </c>
      <c r="V57" s="184">
        <v>0</v>
      </c>
      <c r="W57" s="184">
        <v>1418.6</v>
      </c>
      <c r="X57" s="184">
        <v>0</v>
      </c>
      <c r="Y57" s="184">
        <v>0</v>
      </c>
      <c r="Z57" s="184">
        <v>580.8</v>
      </c>
      <c r="AA57" s="184">
        <v>1901.1</v>
      </c>
    </row>
    <row r="58" spans="1:27" ht="15">
      <c r="A58" s="178" t="s">
        <v>310</v>
      </c>
      <c r="B58" s="179" t="s">
        <v>311</v>
      </c>
      <c r="C58" s="184">
        <v>0</v>
      </c>
      <c r="D58" s="184">
        <v>0</v>
      </c>
      <c r="E58" s="184">
        <v>0</v>
      </c>
      <c r="F58" s="184">
        <v>0</v>
      </c>
      <c r="G58" s="184">
        <v>0</v>
      </c>
      <c r="H58" s="184">
        <v>0</v>
      </c>
      <c r="I58" s="184">
        <v>0</v>
      </c>
      <c r="J58" s="184">
        <v>0</v>
      </c>
      <c r="K58" s="184">
        <v>0</v>
      </c>
      <c r="L58" s="184">
        <v>0</v>
      </c>
      <c r="M58" s="184">
        <v>0</v>
      </c>
      <c r="N58" s="184">
        <v>0</v>
      </c>
      <c r="O58" s="184">
        <v>0</v>
      </c>
      <c r="P58" s="184">
        <v>0</v>
      </c>
      <c r="Q58" s="184">
        <v>0</v>
      </c>
      <c r="R58" s="184">
        <v>0</v>
      </c>
      <c r="S58" s="184">
        <v>0</v>
      </c>
      <c r="T58" s="184"/>
      <c r="U58" s="184">
        <v>675.6</v>
      </c>
      <c r="V58" s="184">
        <v>1733.62</v>
      </c>
      <c r="W58" s="184">
        <v>0</v>
      </c>
      <c r="X58" s="184">
        <v>0</v>
      </c>
      <c r="Y58" s="184">
        <v>0</v>
      </c>
      <c r="Z58" s="184">
        <v>1082.8</v>
      </c>
      <c r="AA58" s="184">
        <v>2018.23</v>
      </c>
    </row>
    <row r="59" spans="1:27" ht="15">
      <c r="A59" s="178" t="s">
        <v>312</v>
      </c>
      <c r="B59" s="179" t="s">
        <v>313</v>
      </c>
      <c r="C59" s="184">
        <v>0</v>
      </c>
      <c r="D59" s="184">
        <v>0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0</v>
      </c>
      <c r="Q59" s="184">
        <v>0</v>
      </c>
      <c r="R59" s="184">
        <v>0</v>
      </c>
      <c r="S59" s="184">
        <v>0</v>
      </c>
      <c r="T59" s="184"/>
      <c r="U59" s="184">
        <v>678.13</v>
      </c>
      <c r="V59" s="184">
        <v>10.9</v>
      </c>
      <c r="W59" s="184">
        <v>0</v>
      </c>
      <c r="X59" s="184">
        <v>0</v>
      </c>
      <c r="Y59" s="184">
        <v>0</v>
      </c>
      <c r="Z59" s="184">
        <v>0</v>
      </c>
      <c r="AA59" s="184">
        <v>278.2</v>
      </c>
    </row>
    <row r="60" spans="1:27" ht="15">
      <c r="A60" s="178" t="s">
        <v>314</v>
      </c>
      <c r="B60" s="179" t="s">
        <v>315</v>
      </c>
      <c r="C60" s="184">
        <v>0</v>
      </c>
      <c r="D60" s="184">
        <v>0</v>
      </c>
      <c r="E60" s="184">
        <v>0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351.2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/>
      <c r="U60" s="184">
        <v>681.59</v>
      </c>
      <c r="V60" s="184">
        <v>32.2</v>
      </c>
      <c r="W60" s="184">
        <v>647.5</v>
      </c>
      <c r="X60" s="184">
        <v>0</v>
      </c>
      <c r="Y60" s="184">
        <v>0</v>
      </c>
      <c r="Z60" s="184">
        <v>716</v>
      </c>
      <c r="AA60" s="184">
        <v>261.7</v>
      </c>
    </row>
    <row r="61" spans="1:27" ht="15">
      <c r="A61" s="178" t="s">
        <v>316</v>
      </c>
      <c r="B61" s="179" t="s">
        <v>317</v>
      </c>
      <c r="C61" s="184">
        <v>0</v>
      </c>
      <c r="D61" s="184">
        <v>0</v>
      </c>
      <c r="E61" s="184">
        <v>0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3206.5</v>
      </c>
      <c r="L61" s="184">
        <v>0</v>
      </c>
      <c r="M61" s="184">
        <v>0</v>
      </c>
      <c r="N61" s="184">
        <v>1923.5</v>
      </c>
      <c r="O61" s="184">
        <v>0</v>
      </c>
      <c r="P61" s="184">
        <v>0</v>
      </c>
      <c r="Q61" s="184">
        <v>0</v>
      </c>
      <c r="R61" s="184">
        <v>2031.3</v>
      </c>
      <c r="S61" s="184">
        <v>0</v>
      </c>
      <c r="T61" s="184"/>
      <c r="U61" s="184">
        <v>0</v>
      </c>
      <c r="V61" s="184">
        <v>0</v>
      </c>
      <c r="W61" s="184">
        <v>0</v>
      </c>
      <c r="X61" s="184">
        <v>0</v>
      </c>
      <c r="Y61" s="184">
        <v>0</v>
      </c>
      <c r="Z61" s="184">
        <v>804.18</v>
      </c>
      <c r="AA61" s="184">
        <v>2549.85</v>
      </c>
    </row>
    <row r="62" spans="1:27" ht="15">
      <c r="A62" s="178" t="s">
        <v>318</v>
      </c>
      <c r="B62" s="179" t="s">
        <v>319</v>
      </c>
      <c r="C62" s="184">
        <v>0</v>
      </c>
      <c r="D62" s="184">
        <v>0</v>
      </c>
      <c r="E62" s="184">
        <v>0</v>
      </c>
      <c r="F62" s="184">
        <v>0</v>
      </c>
      <c r="G62" s="184">
        <v>0</v>
      </c>
      <c r="H62" s="184">
        <v>0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4">
        <v>0</v>
      </c>
      <c r="T62" s="184"/>
      <c r="U62" s="184">
        <v>0</v>
      </c>
      <c r="V62" s="184">
        <v>0</v>
      </c>
      <c r="W62" s="184">
        <v>0</v>
      </c>
      <c r="X62" s="184">
        <v>0</v>
      </c>
      <c r="Y62" s="184">
        <v>0</v>
      </c>
      <c r="Z62" s="184">
        <v>18732.59</v>
      </c>
      <c r="AA62" s="184">
        <v>25089.95</v>
      </c>
    </row>
    <row r="63" spans="1:27" ht="15">
      <c r="A63" s="178" t="s">
        <v>320</v>
      </c>
      <c r="B63" s="179" t="s">
        <v>321</v>
      </c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7332.3</v>
      </c>
      <c r="L63" s="184">
        <v>0</v>
      </c>
      <c r="M63" s="184">
        <v>0</v>
      </c>
      <c r="N63" s="184">
        <v>29542.99</v>
      </c>
      <c r="O63" s="184">
        <v>0</v>
      </c>
      <c r="P63" s="184">
        <v>0</v>
      </c>
      <c r="Q63" s="184">
        <v>0</v>
      </c>
      <c r="R63" s="184">
        <v>0</v>
      </c>
      <c r="S63" s="184">
        <v>38.3</v>
      </c>
      <c r="T63" s="184"/>
      <c r="U63" s="184">
        <v>0</v>
      </c>
      <c r="V63" s="184">
        <v>0</v>
      </c>
      <c r="W63" s="184">
        <v>0</v>
      </c>
      <c r="X63" s="184">
        <v>0</v>
      </c>
      <c r="Y63" s="184">
        <v>0</v>
      </c>
      <c r="Z63" s="184">
        <v>779.69</v>
      </c>
      <c r="AA63" s="184">
        <v>1945.38</v>
      </c>
    </row>
    <row r="64" spans="1:27" ht="15">
      <c r="A64" s="178" t="s">
        <v>322</v>
      </c>
      <c r="B64" s="179" t="s">
        <v>323</v>
      </c>
      <c r="C64" s="184">
        <v>0</v>
      </c>
      <c r="D64" s="184">
        <v>0</v>
      </c>
      <c r="E64" s="184">
        <v>0</v>
      </c>
      <c r="F64" s="184">
        <v>0</v>
      </c>
      <c r="G64" s="184">
        <v>0</v>
      </c>
      <c r="H64" s="184">
        <v>481.6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184">
        <v>0</v>
      </c>
      <c r="R64" s="184">
        <v>0</v>
      </c>
      <c r="S64" s="184">
        <v>0</v>
      </c>
      <c r="T64" s="184"/>
      <c r="U64" s="184">
        <v>0</v>
      </c>
      <c r="V64" s="184">
        <v>0</v>
      </c>
      <c r="W64" s="184">
        <v>0</v>
      </c>
      <c r="X64" s="184">
        <v>0</v>
      </c>
      <c r="Y64" s="184">
        <v>0</v>
      </c>
      <c r="Z64" s="184">
        <v>434.7</v>
      </c>
      <c r="AA64" s="184">
        <v>495.6</v>
      </c>
    </row>
    <row r="65" spans="1:27" ht="15">
      <c r="A65" s="178" t="s">
        <v>324</v>
      </c>
      <c r="B65" s="179" t="s">
        <v>325</v>
      </c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37606.9</v>
      </c>
      <c r="O65" s="184">
        <v>0</v>
      </c>
      <c r="P65" s="184">
        <v>0</v>
      </c>
      <c r="Q65" s="184">
        <v>0</v>
      </c>
      <c r="R65" s="184">
        <v>121.1</v>
      </c>
      <c r="S65" s="184">
        <v>0</v>
      </c>
      <c r="T65" s="184"/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3636.23</v>
      </c>
      <c r="AA65" s="184">
        <v>3081.7</v>
      </c>
    </row>
    <row r="66" spans="1:27" ht="15">
      <c r="A66" s="176" t="s">
        <v>326</v>
      </c>
      <c r="B66" s="177" t="s">
        <v>327</v>
      </c>
      <c r="C66" s="183">
        <f>SUM(C67:C72)</f>
        <v>29205.5</v>
      </c>
      <c r="D66" s="183">
        <f aca="true" t="shared" si="8" ref="D66:AA66">SUM(D67:D72)</f>
        <v>0</v>
      </c>
      <c r="E66" s="183">
        <f t="shared" si="8"/>
        <v>0</v>
      </c>
      <c r="F66" s="183">
        <f t="shared" si="8"/>
        <v>0</v>
      </c>
      <c r="G66" s="183">
        <f t="shared" si="8"/>
        <v>559</v>
      </c>
      <c r="H66" s="183">
        <f t="shared" si="8"/>
        <v>0</v>
      </c>
      <c r="I66" s="183">
        <f t="shared" si="8"/>
        <v>35.2</v>
      </c>
      <c r="J66" s="183">
        <f t="shared" si="8"/>
        <v>0</v>
      </c>
      <c r="K66" s="183">
        <f t="shared" si="8"/>
        <v>1187.5</v>
      </c>
      <c r="L66" s="183">
        <f t="shared" si="8"/>
        <v>0</v>
      </c>
      <c r="M66" s="183">
        <f t="shared" si="8"/>
        <v>0</v>
      </c>
      <c r="N66" s="183">
        <f t="shared" si="8"/>
        <v>1009.1</v>
      </c>
      <c r="O66" s="183">
        <f t="shared" si="8"/>
        <v>0</v>
      </c>
      <c r="P66" s="183">
        <f t="shared" si="8"/>
        <v>0</v>
      </c>
      <c r="Q66" s="183">
        <f t="shared" si="8"/>
        <v>0</v>
      </c>
      <c r="R66" s="183">
        <f t="shared" si="8"/>
        <v>0</v>
      </c>
      <c r="S66" s="183">
        <f t="shared" si="8"/>
        <v>0</v>
      </c>
      <c r="T66" s="183">
        <f t="shared" si="8"/>
        <v>0</v>
      </c>
      <c r="U66" s="183">
        <f t="shared" si="8"/>
        <v>0</v>
      </c>
      <c r="V66" s="183">
        <f t="shared" si="8"/>
        <v>725.5400000000001</v>
      </c>
      <c r="W66" s="183">
        <f t="shared" si="8"/>
        <v>13.5</v>
      </c>
      <c r="X66" s="183">
        <f t="shared" si="8"/>
        <v>0</v>
      </c>
      <c r="Y66" s="183">
        <f t="shared" si="8"/>
        <v>1007.56</v>
      </c>
      <c r="Z66" s="183">
        <f t="shared" si="8"/>
        <v>22.6</v>
      </c>
      <c r="AA66" s="183">
        <f t="shared" si="8"/>
        <v>554.36</v>
      </c>
    </row>
    <row r="67" spans="1:27" ht="15">
      <c r="A67" s="178" t="s">
        <v>328</v>
      </c>
      <c r="B67" s="179" t="s">
        <v>329</v>
      </c>
      <c r="C67" s="184">
        <v>0</v>
      </c>
      <c r="D67" s="184">
        <v>0</v>
      </c>
      <c r="E67" s="184">
        <v>0</v>
      </c>
      <c r="F67" s="184">
        <v>0</v>
      </c>
      <c r="G67" s="184">
        <v>0</v>
      </c>
      <c r="H67" s="184">
        <v>0</v>
      </c>
      <c r="I67" s="184">
        <v>0</v>
      </c>
      <c r="J67" s="184">
        <v>0</v>
      </c>
      <c r="K67" s="184">
        <v>1187.5</v>
      </c>
      <c r="L67" s="184">
        <v>0</v>
      </c>
      <c r="M67" s="184">
        <v>0</v>
      </c>
      <c r="N67" s="184">
        <v>704.1</v>
      </c>
      <c r="O67" s="184">
        <v>0</v>
      </c>
      <c r="P67" s="184">
        <v>0</v>
      </c>
      <c r="Q67" s="184">
        <v>0</v>
      </c>
      <c r="R67" s="184">
        <v>0</v>
      </c>
      <c r="S67" s="184">
        <v>0</v>
      </c>
      <c r="T67" s="184"/>
      <c r="U67" s="184">
        <v>0</v>
      </c>
      <c r="V67" s="184">
        <v>0</v>
      </c>
      <c r="W67" s="184">
        <v>0</v>
      </c>
      <c r="X67" s="184">
        <v>0</v>
      </c>
      <c r="Y67" s="184">
        <v>0</v>
      </c>
      <c r="Z67" s="184">
        <v>0</v>
      </c>
      <c r="AA67" s="184">
        <v>192.9</v>
      </c>
    </row>
    <row r="68" spans="1:27" ht="15">
      <c r="A68" s="178" t="s">
        <v>330</v>
      </c>
      <c r="B68" s="179" t="s">
        <v>331</v>
      </c>
      <c r="C68" s="184">
        <v>0</v>
      </c>
      <c r="D68" s="184">
        <v>0</v>
      </c>
      <c r="E68" s="184">
        <v>0</v>
      </c>
      <c r="F68" s="184">
        <v>0</v>
      </c>
      <c r="G68" s="184">
        <v>559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109.1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/>
      <c r="U68" s="184">
        <v>0</v>
      </c>
      <c r="V68" s="184">
        <v>121.2</v>
      </c>
      <c r="W68" s="184">
        <v>0</v>
      </c>
      <c r="X68" s="184">
        <v>0</v>
      </c>
      <c r="Y68" s="184">
        <v>0</v>
      </c>
      <c r="Z68" s="184">
        <v>22.6</v>
      </c>
      <c r="AA68" s="184">
        <v>340.86</v>
      </c>
    </row>
    <row r="69" spans="1:27" ht="15">
      <c r="A69" s="178" t="s">
        <v>332</v>
      </c>
      <c r="B69" s="179" t="s">
        <v>333</v>
      </c>
      <c r="C69" s="184">
        <v>954.3</v>
      </c>
      <c r="D69" s="184">
        <v>0</v>
      </c>
      <c r="E69" s="184">
        <v>0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/>
      <c r="U69" s="184">
        <v>0</v>
      </c>
      <c r="V69" s="184">
        <v>0</v>
      </c>
      <c r="W69" s="184">
        <v>13.5</v>
      </c>
      <c r="X69" s="184">
        <v>0</v>
      </c>
      <c r="Y69" s="184">
        <v>0</v>
      </c>
      <c r="Z69" s="184">
        <v>0</v>
      </c>
      <c r="AA69" s="184">
        <v>0</v>
      </c>
    </row>
    <row r="70" spans="1:27" ht="15">
      <c r="A70" s="178" t="s">
        <v>334</v>
      </c>
      <c r="B70" s="179" t="s">
        <v>335</v>
      </c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195.9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/>
      <c r="U70" s="184">
        <v>0</v>
      </c>
      <c r="V70" s="184">
        <v>604.34</v>
      </c>
      <c r="W70" s="184">
        <v>0</v>
      </c>
      <c r="X70" s="184">
        <v>0</v>
      </c>
      <c r="Y70" s="184">
        <v>1007.56</v>
      </c>
      <c r="Z70" s="184">
        <v>0</v>
      </c>
      <c r="AA70" s="184">
        <v>20.6</v>
      </c>
    </row>
    <row r="71" spans="1:27" ht="25.5">
      <c r="A71" s="178" t="s">
        <v>336</v>
      </c>
      <c r="B71" s="179" t="s">
        <v>337</v>
      </c>
      <c r="C71" s="184">
        <v>28251.2</v>
      </c>
      <c r="D71" s="184">
        <v>0</v>
      </c>
      <c r="E71" s="184">
        <v>0</v>
      </c>
      <c r="F71" s="184">
        <v>0</v>
      </c>
      <c r="G71" s="184">
        <v>0</v>
      </c>
      <c r="H71" s="184">
        <v>0</v>
      </c>
      <c r="I71" s="184">
        <v>35.2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4">
        <v>0</v>
      </c>
      <c r="Q71" s="184">
        <v>0</v>
      </c>
      <c r="R71" s="184">
        <v>0</v>
      </c>
      <c r="S71" s="184">
        <v>0</v>
      </c>
      <c r="T71" s="184"/>
      <c r="U71" s="184">
        <v>0</v>
      </c>
      <c r="V71" s="184">
        <v>0</v>
      </c>
      <c r="W71" s="184">
        <v>0</v>
      </c>
      <c r="X71" s="184">
        <v>0</v>
      </c>
      <c r="Y71" s="184">
        <v>0</v>
      </c>
      <c r="Z71" s="184">
        <v>0</v>
      </c>
      <c r="AA71" s="184">
        <v>0</v>
      </c>
    </row>
    <row r="72" spans="1:27" ht="25.5">
      <c r="A72" s="178" t="s">
        <v>338</v>
      </c>
      <c r="B72" s="179" t="s">
        <v>339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</row>
    <row r="73" spans="1:27" ht="15">
      <c r="A73" s="176" t="s">
        <v>340</v>
      </c>
      <c r="B73" s="177" t="s">
        <v>341</v>
      </c>
      <c r="C73" s="183">
        <f>SUM(C74:C83)</f>
        <v>67567.4</v>
      </c>
      <c r="D73" s="183">
        <f aca="true" t="shared" si="9" ref="D73:X73">SUM(D74:D83)</f>
        <v>0</v>
      </c>
      <c r="E73" s="183">
        <f t="shared" si="9"/>
        <v>0</v>
      </c>
      <c r="F73" s="183">
        <f t="shared" si="9"/>
        <v>0</v>
      </c>
      <c r="G73" s="183">
        <f t="shared" si="9"/>
        <v>0</v>
      </c>
      <c r="H73" s="183">
        <f t="shared" si="9"/>
        <v>507.2</v>
      </c>
      <c r="I73" s="183">
        <f t="shared" si="9"/>
        <v>0</v>
      </c>
      <c r="J73" s="183">
        <f t="shared" si="9"/>
        <v>0</v>
      </c>
      <c r="K73" s="183">
        <f t="shared" si="9"/>
        <v>699.3</v>
      </c>
      <c r="L73" s="183">
        <f t="shared" si="9"/>
        <v>0</v>
      </c>
      <c r="M73" s="183">
        <f t="shared" si="9"/>
        <v>0</v>
      </c>
      <c r="N73" s="183">
        <f t="shared" si="9"/>
        <v>335348.66000000003</v>
      </c>
      <c r="O73" s="183">
        <f t="shared" si="9"/>
        <v>0</v>
      </c>
      <c r="P73" s="183">
        <f t="shared" si="9"/>
        <v>0</v>
      </c>
      <c r="Q73" s="183">
        <f t="shared" si="9"/>
        <v>0</v>
      </c>
      <c r="R73" s="183">
        <f t="shared" si="9"/>
        <v>0</v>
      </c>
      <c r="S73" s="183">
        <f t="shared" si="9"/>
        <v>2500.8999999999996</v>
      </c>
      <c r="T73" s="183">
        <f t="shared" si="9"/>
        <v>26623.86</v>
      </c>
      <c r="U73" s="183">
        <f t="shared" si="9"/>
        <v>233.50000000000003</v>
      </c>
      <c r="V73" s="183">
        <f t="shared" si="9"/>
        <v>4271</v>
      </c>
      <c r="W73" s="183">
        <f t="shared" si="9"/>
        <v>9</v>
      </c>
      <c r="X73" s="183">
        <f t="shared" si="9"/>
        <v>0</v>
      </c>
      <c r="Y73" s="183">
        <f>SUM(Y74:Y83)</f>
        <v>56016.32000000001</v>
      </c>
      <c r="Z73" s="183">
        <f>SUM(Z74:Z83)</f>
        <v>2576.89</v>
      </c>
      <c r="AA73" s="183">
        <f>SUM(AA74:AA83)</f>
        <v>77546.79999999999</v>
      </c>
    </row>
    <row r="74" spans="1:27" ht="15">
      <c r="A74" s="178" t="s">
        <v>342</v>
      </c>
      <c r="B74" s="179" t="s">
        <v>343</v>
      </c>
      <c r="C74" s="184">
        <v>0</v>
      </c>
      <c r="D74" s="184">
        <v>0</v>
      </c>
      <c r="E74" s="184">
        <v>0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45920.2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/>
      <c r="U74" s="184">
        <v>0</v>
      </c>
      <c r="V74" s="184">
        <v>0</v>
      </c>
      <c r="W74" s="184">
        <v>0</v>
      </c>
      <c r="X74" s="184">
        <v>0</v>
      </c>
      <c r="Y74" s="184">
        <v>15924.5</v>
      </c>
      <c r="Z74" s="184">
        <v>0</v>
      </c>
      <c r="AA74" s="184">
        <v>320.9</v>
      </c>
    </row>
    <row r="75" spans="1:27" ht="15">
      <c r="A75" s="178" t="s">
        <v>344</v>
      </c>
      <c r="B75" s="179" t="s">
        <v>345</v>
      </c>
      <c r="C75" s="184">
        <v>332</v>
      </c>
      <c r="D75" s="184">
        <v>0</v>
      </c>
      <c r="E75" s="184">
        <v>0</v>
      </c>
      <c r="F75" s="184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0</v>
      </c>
      <c r="N75" s="184">
        <v>2340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/>
      <c r="U75" s="184">
        <v>0</v>
      </c>
      <c r="V75" s="184">
        <v>0</v>
      </c>
      <c r="W75" s="184">
        <v>0</v>
      </c>
      <c r="X75" s="184">
        <v>0</v>
      </c>
      <c r="Y75" s="184">
        <v>0</v>
      </c>
      <c r="Z75" s="184">
        <v>0</v>
      </c>
      <c r="AA75" s="184">
        <v>2231</v>
      </c>
    </row>
    <row r="76" spans="1:27" ht="15">
      <c r="A76" s="178" t="s">
        <v>346</v>
      </c>
      <c r="B76" s="179" t="s">
        <v>347</v>
      </c>
      <c r="C76" s="184">
        <v>0</v>
      </c>
      <c r="D76" s="184">
        <v>0</v>
      </c>
      <c r="E76" s="184">
        <v>0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/>
      <c r="U76" s="184">
        <v>0</v>
      </c>
      <c r="V76" s="184">
        <v>0</v>
      </c>
      <c r="W76" s="184">
        <v>0</v>
      </c>
      <c r="X76" s="184">
        <v>0</v>
      </c>
      <c r="Y76" s="184">
        <v>128.7</v>
      </c>
      <c r="Z76" s="184">
        <v>0</v>
      </c>
      <c r="AA76" s="184">
        <v>73.9</v>
      </c>
    </row>
    <row r="77" spans="1:27" ht="15">
      <c r="A77" s="178" t="s">
        <v>348</v>
      </c>
      <c r="B77" s="179" t="s">
        <v>349</v>
      </c>
      <c r="C77" s="184">
        <v>20.9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599.3</v>
      </c>
      <c r="L77" s="184">
        <v>0</v>
      </c>
      <c r="M77" s="184">
        <v>0</v>
      </c>
      <c r="N77" s="184">
        <v>58638.9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/>
      <c r="U77" s="184">
        <v>0</v>
      </c>
      <c r="V77" s="184">
        <v>0</v>
      </c>
      <c r="W77" s="184">
        <v>0</v>
      </c>
      <c r="X77" s="184">
        <v>0</v>
      </c>
      <c r="Y77" s="184">
        <v>2962</v>
      </c>
      <c r="Z77" s="184">
        <v>2.1</v>
      </c>
      <c r="AA77" s="184">
        <v>0</v>
      </c>
    </row>
    <row r="78" spans="1:27" ht="15">
      <c r="A78" s="178" t="s">
        <v>350</v>
      </c>
      <c r="B78" s="179" t="s">
        <v>351</v>
      </c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25909.86</v>
      </c>
      <c r="U78" s="184">
        <v>165.8</v>
      </c>
      <c r="V78" s="184">
        <v>0</v>
      </c>
      <c r="W78" s="184">
        <v>0</v>
      </c>
      <c r="X78" s="184">
        <v>0</v>
      </c>
      <c r="Y78" s="184">
        <v>0</v>
      </c>
      <c r="Z78" s="184">
        <v>40</v>
      </c>
      <c r="AA78" s="184">
        <v>1265.19</v>
      </c>
    </row>
    <row r="79" spans="1:27" ht="15">
      <c r="A79" s="178" t="s">
        <v>352</v>
      </c>
      <c r="B79" s="179" t="s">
        <v>353</v>
      </c>
      <c r="C79" s="184">
        <v>67214.5</v>
      </c>
      <c r="D79" s="184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/>
      <c r="U79" s="184">
        <v>0</v>
      </c>
      <c r="V79" s="184">
        <v>3938.3</v>
      </c>
      <c r="W79" s="184">
        <v>0</v>
      </c>
      <c r="X79" s="184">
        <v>0</v>
      </c>
      <c r="Y79" s="184">
        <v>0</v>
      </c>
      <c r="Z79" s="184">
        <v>0</v>
      </c>
      <c r="AA79" s="184">
        <v>6855.9</v>
      </c>
    </row>
    <row r="80" spans="1:27" ht="15">
      <c r="A80" s="178" t="s">
        <v>354</v>
      </c>
      <c r="B80" s="179" t="s">
        <v>355</v>
      </c>
      <c r="C80" s="184">
        <v>0</v>
      </c>
      <c r="D80" s="184">
        <v>0</v>
      </c>
      <c r="E80" s="184">
        <v>0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0</v>
      </c>
      <c r="Q80" s="184">
        <v>0</v>
      </c>
      <c r="R80" s="184">
        <v>0</v>
      </c>
      <c r="S80" s="184">
        <v>2487.2</v>
      </c>
      <c r="T80" s="184">
        <v>714</v>
      </c>
      <c r="U80" s="184">
        <v>11.8</v>
      </c>
      <c r="V80" s="184">
        <v>283.2</v>
      </c>
      <c r="W80" s="184">
        <v>0</v>
      </c>
      <c r="X80" s="184">
        <v>0</v>
      </c>
      <c r="Y80" s="184">
        <v>18038.13</v>
      </c>
      <c r="Z80" s="184">
        <v>1684.5</v>
      </c>
      <c r="AA80" s="184">
        <v>43935.2</v>
      </c>
    </row>
    <row r="81" spans="1:27" ht="15">
      <c r="A81" s="178" t="s">
        <v>356</v>
      </c>
      <c r="B81" s="179" t="s">
        <v>357</v>
      </c>
      <c r="C81" s="184">
        <v>0</v>
      </c>
      <c r="D81" s="184">
        <v>0</v>
      </c>
      <c r="E81" s="184">
        <v>0</v>
      </c>
      <c r="F81" s="184">
        <v>0</v>
      </c>
      <c r="G81" s="184">
        <v>0</v>
      </c>
      <c r="H81" s="184">
        <v>0</v>
      </c>
      <c r="I81" s="184">
        <v>0</v>
      </c>
      <c r="J81" s="184">
        <v>0</v>
      </c>
      <c r="K81" s="184">
        <v>0</v>
      </c>
      <c r="L81" s="184">
        <v>0</v>
      </c>
      <c r="M81" s="184">
        <v>0</v>
      </c>
      <c r="N81" s="184">
        <v>61833.08</v>
      </c>
      <c r="O81" s="184">
        <v>0</v>
      </c>
      <c r="P81" s="184">
        <v>0</v>
      </c>
      <c r="Q81" s="184">
        <v>0</v>
      </c>
      <c r="R81" s="184">
        <v>0</v>
      </c>
      <c r="S81" s="184">
        <v>0</v>
      </c>
      <c r="T81" s="184"/>
      <c r="U81" s="184">
        <v>0</v>
      </c>
      <c r="V81" s="184">
        <v>49.5</v>
      </c>
      <c r="W81" s="184">
        <v>0</v>
      </c>
      <c r="X81" s="184">
        <v>0</v>
      </c>
      <c r="Y81" s="184">
        <v>0</v>
      </c>
      <c r="Z81" s="184">
        <v>727</v>
      </c>
      <c r="AA81" s="184">
        <v>11390.77</v>
      </c>
    </row>
    <row r="82" spans="1:27" ht="15">
      <c r="A82" s="178" t="s">
        <v>358</v>
      </c>
      <c r="B82" s="179" t="s">
        <v>359</v>
      </c>
      <c r="C82" s="184">
        <v>0</v>
      </c>
      <c r="D82" s="184">
        <v>0</v>
      </c>
      <c r="E82" s="184">
        <v>0</v>
      </c>
      <c r="F82" s="184">
        <v>0</v>
      </c>
      <c r="G82" s="184">
        <v>0</v>
      </c>
      <c r="H82" s="184">
        <v>0</v>
      </c>
      <c r="I82" s="184">
        <v>0</v>
      </c>
      <c r="J82" s="184">
        <v>0</v>
      </c>
      <c r="K82" s="184">
        <v>0</v>
      </c>
      <c r="L82" s="184">
        <v>0</v>
      </c>
      <c r="M82" s="184">
        <v>0</v>
      </c>
      <c r="N82" s="184">
        <v>166616.48</v>
      </c>
      <c r="O82" s="184">
        <v>0</v>
      </c>
      <c r="P82" s="184">
        <v>0</v>
      </c>
      <c r="Q82" s="184">
        <v>0</v>
      </c>
      <c r="R82" s="184">
        <v>0</v>
      </c>
      <c r="S82" s="184">
        <v>13.7</v>
      </c>
      <c r="T82" s="184"/>
      <c r="U82" s="184">
        <v>0</v>
      </c>
      <c r="V82" s="184">
        <v>0</v>
      </c>
      <c r="W82" s="184">
        <v>0</v>
      </c>
      <c r="X82" s="184">
        <v>0</v>
      </c>
      <c r="Y82" s="184">
        <v>0</v>
      </c>
      <c r="Z82" s="184">
        <v>0</v>
      </c>
      <c r="AA82" s="184">
        <v>1851.9</v>
      </c>
    </row>
    <row r="83" spans="1:27" ht="15">
      <c r="A83" s="178" t="s">
        <v>360</v>
      </c>
      <c r="B83" s="179" t="s">
        <v>361</v>
      </c>
      <c r="C83" s="184">
        <v>0</v>
      </c>
      <c r="D83" s="184">
        <v>0</v>
      </c>
      <c r="E83" s="184">
        <v>0</v>
      </c>
      <c r="F83" s="184">
        <v>0</v>
      </c>
      <c r="G83" s="184">
        <v>0</v>
      </c>
      <c r="H83" s="184">
        <v>507.2</v>
      </c>
      <c r="I83" s="184">
        <v>0</v>
      </c>
      <c r="J83" s="184">
        <v>0</v>
      </c>
      <c r="K83" s="184">
        <v>100</v>
      </c>
      <c r="L83" s="184">
        <v>0</v>
      </c>
      <c r="M83" s="184">
        <v>0</v>
      </c>
      <c r="N83" s="184">
        <v>0</v>
      </c>
      <c r="O83" s="184">
        <v>0</v>
      </c>
      <c r="P83" s="184">
        <v>0</v>
      </c>
      <c r="Q83" s="184">
        <v>0</v>
      </c>
      <c r="R83" s="184">
        <v>0</v>
      </c>
      <c r="S83" s="184">
        <v>0</v>
      </c>
      <c r="T83" s="184"/>
      <c r="U83" s="184">
        <v>55.9</v>
      </c>
      <c r="V83" s="184">
        <v>0</v>
      </c>
      <c r="W83" s="184">
        <v>9</v>
      </c>
      <c r="X83" s="184">
        <v>0</v>
      </c>
      <c r="Y83" s="184">
        <v>18962.99</v>
      </c>
      <c r="Z83" s="184">
        <v>123.29</v>
      </c>
      <c r="AA83" s="184">
        <v>9622.04</v>
      </c>
    </row>
    <row r="84" spans="1:27" ht="25.5">
      <c r="A84" s="176" t="s">
        <v>362</v>
      </c>
      <c r="B84" s="177" t="s">
        <v>363</v>
      </c>
      <c r="C84" s="183">
        <f>SUM(C85:C95)</f>
        <v>1671752.3</v>
      </c>
      <c r="D84" s="183">
        <f aca="true" t="shared" si="10" ref="D84:M84">SUM(D85:D95)</f>
        <v>0</v>
      </c>
      <c r="E84" s="183">
        <f t="shared" si="10"/>
        <v>0</v>
      </c>
      <c r="F84" s="183">
        <f t="shared" si="10"/>
        <v>0</v>
      </c>
      <c r="G84" s="183">
        <f t="shared" si="10"/>
        <v>0</v>
      </c>
      <c r="H84" s="183">
        <f t="shared" si="10"/>
        <v>0</v>
      </c>
      <c r="I84" s="183">
        <f t="shared" si="10"/>
        <v>0</v>
      </c>
      <c r="J84" s="183">
        <f t="shared" si="10"/>
        <v>0</v>
      </c>
      <c r="K84" s="183">
        <f t="shared" si="10"/>
        <v>0</v>
      </c>
      <c r="L84" s="183">
        <f t="shared" si="10"/>
        <v>0</v>
      </c>
      <c r="M84" s="183">
        <f t="shared" si="10"/>
        <v>29</v>
      </c>
      <c r="N84" s="183">
        <f aca="true" t="shared" si="11" ref="N84:AA84">SUM(N85:N95)</f>
        <v>14341.7</v>
      </c>
      <c r="O84" s="183">
        <f t="shared" si="11"/>
        <v>0</v>
      </c>
      <c r="P84" s="183">
        <f t="shared" si="11"/>
        <v>144.4</v>
      </c>
      <c r="Q84" s="183">
        <f t="shared" si="11"/>
        <v>0</v>
      </c>
      <c r="R84" s="183">
        <f t="shared" si="11"/>
        <v>0</v>
      </c>
      <c r="S84" s="183">
        <f t="shared" si="11"/>
        <v>0</v>
      </c>
      <c r="T84" s="183">
        <f t="shared" si="11"/>
        <v>0</v>
      </c>
      <c r="U84" s="183">
        <f t="shared" si="11"/>
        <v>76</v>
      </c>
      <c r="V84" s="183">
        <f t="shared" si="11"/>
        <v>177.4</v>
      </c>
      <c r="W84" s="183">
        <f t="shared" si="11"/>
        <v>0</v>
      </c>
      <c r="X84" s="183">
        <f t="shared" si="11"/>
        <v>0</v>
      </c>
      <c r="Y84" s="183">
        <f t="shared" si="11"/>
        <v>0</v>
      </c>
      <c r="Z84" s="183">
        <f t="shared" si="11"/>
        <v>0</v>
      </c>
      <c r="AA84" s="183">
        <f t="shared" si="11"/>
        <v>26500.100000000002</v>
      </c>
    </row>
    <row r="85" spans="1:27" ht="15">
      <c r="A85" s="178" t="s">
        <v>364</v>
      </c>
      <c r="B85" s="179" t="s">
        <v>365</v>
      </c>
      <c r="C85" s="184">
        <v>63240.8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0</v>
      </c>
      <c r="K85" s="184">
        <v>0</v>
      </c>
      <c r="L85" s="184">
        <v>0</v>
      </c>
      <c r="M85" s="184">
        <v>29</v>
      </c>
      <c r="N85" s="184">
        <v>0</v>
      </c>
      <c r="O85" s="184">
        <v>0</v>
      </c>
      <c r="P85" s="184">
        <v>0</v>
      </c>
      <c r="Q85" s="184">
        <v>0</v>
      </c>
      <c r="R85" s="184">
        <v>0</v>
      </c>
      <c r="S85" s="184">
        <v>0</v>
      </c>
      <c r="T85" s="184"/>
      <c r="U85" s="184">
        <v>0</v>
      </c>
      <c r="V85" s="184">
        <v>0</v>
      </c>
      <c r="W85" s="184">
        <v>0</v>
      </c>
      <c r="X85" s="184">
        <v>0</v>
      </c>
      <c r="Y85" s="184">
        <v>0</v>
      </c>
      <c r="Z85" s="184">
        <v>0</v>
      </c>
      <c r="AA85" s="184">
        <v>15041.6</v>
      </c>
    </row>
    <row r="86" spans="1:27" ht="15">
      <c r="A86" s="178" t="s">
        <v>366</v>
      </c>
      <c r="B86" s="179" t="s">
        <v>367</v>
      </c>
      <c r="C86" s="184">
        <v>1608511.5</v>
      </c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0</v>
      </c>
      <c r="N86" s="184">
        <v>0</v>
      </c>
      <c r="O86" s="184">
        <v>0</v>
      </c>
      <c r="P86" s="184">
        <v>0</v>
      </c>
      <c r="Q86" s="184">
        <v>0</v>
      </c>
      <c r="R86" s="184">
        <v>0</v>
      </c>
      <c r="S86" s="184">
        <v>0</v>
      </c>
      <c r="T86" s="184"/>
      <c r="U86" s="184">
        <v>0</v>
      </c>
      <c r="V86" s="184">
        <v>0</v>
      </c>
      <c r="W86" s="184">
        <v>0</v>
      </c>
      <c r="X86" s="184">
        <v>0</v>
      </c>
      <c r="Y86" s="184">
        <v>0</v>
      </c>
      <c r="Z86" s="184">
        <v>0</v>
      </c>
      <c r="AA86" s="184">
        <v>5284.4</v>
      </c>
    </row>
    <row r="87" spans="1:27" ht="15">
      <c r="A87" s="178" t="s">
        <v>368</v>
      </c>
      <c r="B87" s="179" t="s">
        <v>369</v>
      </c>
      <c r="C87" s="184">
        <v>0</v>
      </c>
      <c r="D87" s="184">
        <v>0</v>
      </c>
      <c r="E87" s="184">
        <v>0</v>
      </c>
      <c r="F87" s="184">
        <v>0</v>
      </c>
      <c r="G87" s="184">
        <v>0</v>
      </c>
      <c r="H87" s="184">
        <v>0</v>
      </c>
      <c r="I87" s="184">
        <v>0</v>
      </c>
      <c r="J87" s="184">
        <v>0</v>
      </c>
      <c r="K87" s="184">
        <v>0</v>
      </c>
      <c r="L87" s="184">
        <v>0</v>
      </c>
      <c r="M87" s="184">
        <v>0</v>
      </c>
      <c r="N87" s="184">
        <v>0</v>
      </c>
      <c r="O87" s="184">
        <v>0</v>
      </c>
      <c r="P87" s="184">
        <v>0</v>
      </c>
      <c r="Q87" s="184">
        <v>0</v>
      </c>
      <c r="R87" s="184">
        <v>0</v>
      </c>
      <c r="S87" s="184">
        <v>0</v>
      </c>
      <c r="T87" s="184"/>
      <c r="U87" s="184">
        <v>0</v>
      </c>
      <c r="V87" s="184">
        <v>0</v>
      </c>
      <c r="W87" s="184">
        <v>0</v>
      </c>
      <c r="X87" s="184">
        <v>0</v>
      </c>
      <c r="Y87" s="184">
        <v>0</v>
      </c>
      <c r="Z87" s="184">
        <v>0</v>
      </c>
      <c r="AA87" s="184">
        <v>0</v>
      </c>
    </row>
    <row r="88" spans="1:27" ht="15">
      <c r="A88" s="178" t="s">
        <v>370</v>
      </c>
      <c r="B88" s="179" t="s">
        <v>371</v>
      </c>
      <c r="C88" s="184">
        <v>0</v>
      </c>
      <c r="D88" s="184">
        <v>0</v>
      </c>
      <c r="E88" s="184">
        <v>0</v>
      </c>
      <c r="F88" s="184">
        <v>0</v>
      </c>
      <c r="G88" s="184">
        <v>0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4">
        <v>0</v>
      </c>
      <c r="O88" s="184">
        <v>0</v>
      </c>
      <c r="P88" s="184">
        <v>0</v>
      </c>
      <c r="Q88" s="184">
        <v>0</v>
      </c>
      <c r="R88" s="184">
        <v>0</v>
      </c>
      <c r="S88" s="184">
        <v>0</v>
      </c>
      <c r="T88" s="184"/>
      <c r="U88" s="184">
        <v>0</v>
      </c>
      <c r="V88" s="184">
        <v>0</v>
      </c>
      <c r="W88" s="184">
        <v>0</v>
      </c>
      <c r="X88" s="184">
        <v>0</v>
      </c>
      <c r="Y88" s="184">
        <v>0</v>
      </c>
      <c r="Z88" s="184">
        <v>0</v>
      </c>
      <c r="AA88" s="184">
        <v>0</v>
      </c>
    </row>
    <row r="89" spans="1:27" ht="15">
      <c r="A89" s="178" t="s">
        <v>372</v>
      </c>
      <c r="B89" s="179" t="s">
        <v>373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</row>
    <row r="90" spans="1:27" ht="15">
      <c r="A90" s="178" t="s">
        <v>374</v>
      </c>
      <c r="B90" s="179" t="s">
        <v>375</v>
      </c>
      <c r="C90" s="184">
        <v>0</v>
      </c>
      <c r="D90" s="184">
        <v>0</v>
      </c>
      <c r="E90" s="184">
        <v>0</v>
      </c>
      <c r="F90" s="184">
        <v>0</v>
      </c>
      <c r="G90" s="184">
        <v>0</v>
      </c>
      <c r="H90" s="184">
        <v>0</v>
      </c>
      <c r="I90" s="184">
        <v>0</v>
      </c>
      <c r="J90" s="184">
        <v>0</v>
      </c>
      <c r="K90" s="184">
        <v>0</v>
      </c>
      <c r="L90" s="184">
        <v>0</v>
      </c>
      <c r="M90" s="184">
        <v>0</v>
      </c>
      <c r="N90" s="184">
        <v>14341.7</v>
      </c>
      <c r="O90" s="184">
        <v>0</v>
      </c>
      <c r="P90" s="184">
        <v>0</v>
      </c>
      <c r="Q90" s="184">
        <v>0</v>
      </c>
      <c r="R90" s="184">
        <v>0</v>
      </c>
      <c r="S90" s="184">
        <v>0</v>
      </c>
      <c r="T90" s="184"/>
      <c r="U90" s="184">
        <v>76</v>
      </c>
      <c r="V90" s="184">
        <v>177.4</v>
      </c>
      <c r="W90" s="184">
        <v>0</v>
      </c>
      <c r="X90" s="184">
        <v>0</v>
      </c>
      <c r="Y90" s="184">
        <v>0</v>
      </c>
      <c r="Z90" s="184">
        <v>0</v>
      </c>
      <c r="AA90" s="184">
        <v>6109.7</v>
      </c>
    </row>
    <row r="91" spans="1:27" ht="15">
      <c r="A91" s="178" t="s">
        <v>376</v>
      </c>
      <c r="B91" s="179" t="s">
        <v>377</v>
      </c>
      <c r="C91" s="184">
        <v>0</v>
      </c>
      <c r="D91" s="184">
        <v>0</v>
      </c>
      <c r="E91" s="184">
        <v>0</v>
      </c>
      <c r="F91" s="184">
        <v>0</v>
      </c>
      <c r="G91" s="184">
        <v>0</v>
      </c>
      <c r="H91" s="184">
        <v>0</v>
      </c>
      <c r="I91" s="184">
        <v>0</v>
      </c>
      <c r="J91" s="184">
        <v>0</v>
      </c>
      <c r="K91" s="184">
        <v>0</v>
      </c>
      <c r="L91" s="184">
        <v>0</v>
      </c>
      <c r="M91" s="184">
        <v>0</v>
      </c>
      <c r="N91" s="184">
        <v>0</v>
      </c>
      <c r="O91" s="184">
        <v>0</v>
      </c>
      <c r="P91" s="184">
        <v>0</v>
      </c>
      <c r="Q91" s="184">
        <v>0</v>
      </c>
      <c r="R91" s="184">
        <v>0</v>
      </c>
      <c r="S91" s="184">
        <v>0</v>
      </c>
      <c r="T91" s="184"/>
      <c r="U91" s="184">
        <v>0</v>
      </c>
      <c r="V91" s="184">
        <v>0</v>
      </c>
      <c r="W91" s="184">
        <v>0</v>
      </c>
      <c r="X91" s="184">
        <v>0</v>
      </c>
      <c r="Y91" s="184">
        <v>0</v>
      </c>
      <c r="Z91" s="184">
        <v>0</v>
      </c>
      <c r="AA91" s="184">
        <v>64.4</v>
      </c>
    </row>
    <row r="92" spans="1:27" ht="15">
      <c r="A92" s="178" t="s">
        <v>378</v>
      </c>
      <c r="B92" s="179" t="s">
        <v>379</v>
      </c>
      <c r="C92" s="184">
        <v>0</v>
      </c>
      <c r="D92" s="184">
        <v>0</v>
      </c>
      <c r="E92" s="184">
        <v>0</v>
      </c>
      <c r="F92" s="184">
        <v>0</v>
      </c>
      <c r="G92" s="184">
        <v>0</v>
      </c>
      <c r="H92" s="184">
        <v>0</v>
      </c>
      <c r="I92" s="184">
        <v>0</v>
      </c>
      <c r="J92" s="184">
        <v>0</v>
      </c>
      <c r="K92" s="184">
        <v>0</v>
      </c>
      <c r="L92" s="184">
        <v>0</v>
      </c>
      <c r="M92" s="184">
        <v>0</v>
      </c>
      <c r="N92" s="184">
        <v>0</v>
      </c>
      <c r="O92" s="184">
        <v>0</v>
      </c>
      <c r="P92" s="184">
        <v>0</v>
      </c>
      <c r="Q92" s="184">
        <v>0</v>
      </c>
      <c r="R92" s="184">
        <v>0</v>
      </c>
      <c r="S92" s="184">
        <v>0</v>
      </c>
      <c r="T92" s="184"/>
      <c r="U92" s="184">
        <v>0</v>
      </c>
      <c r="V92" s="184">
        <v>0</v>
      </c>
      <c r="W92" s="184">
        <v>0</v>
      </c>
      <c r="X92" s="184">
        <v>0</v>
      </c>
      <c r="Y92" s="184">
        <v>0</v>
      </c>
      <c r="Z92" s="184">
        <v>0</v>
      </c>
      <c r="AA92" s="184">
        <v>0</v>
      </c>
    </row>
    <row r="93" spans="1:27" ht="15">
      <c r="A93" s="178" t="s">
        <v>380</v>
      </c>
      <c r="B93" s="179" t="s">
        <v>381</v>
      </c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</row>
    <row r="94" spans="1:27" ht="15">
      <c r="A94" s="178" t="s">
        <v>382</v>
      </c>
      <c r="B94" s="179" t="s">
        <v>383</v>
      </c>
      <c r="C94" s="184">
        <v>0</v>
      </c>
      <c r="D94" s="184">
        <v>0</v>
      </c>
      <c r="E94" s="184">
        <v>0</v>
      </c>
      <c r="F94" s="184">
        <v>0</v>
      </c>
      <c r="G94" s="184">
        <v>0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144.4</v>
      </c>
      <c r="Q94" s="184">
        <v>0</v>
      </c>
      <c r="R94" s="184">
        <v>0</v>
      </c>
      <c r="S94" s="184">
        <v>0</v>
      </c>
      <c r="T94" s="184"/>
      <c r="U94" s="184">
        <v>0</v>
      </c>
      <c r="V94" s="184">
        <v>0</v>
      </c>
      <c r="W94" s="184">
        <v>0</v>
      </c>
      <c r="X94" s="184">
        <v>0</v>
      </c>
      <c r="Y94" s="184">
        <v>0</v>
      </c>
      <c r="Z94" s="184">
        <v>0</v>
      </c>
      <c r="AA94" s="184">
        <v>0</v>
      </c>
    </row>
    <row r="95" spans="1:27" ht="15">
      <c r="A95" s="178" t="s">
        <v>384</v>
      </c>
      <c r="B95" s="179" t="s">
        <v>385</v>
      </c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</row>
  </sheetData>
  <sheetProtection/>
  <autoFilter ref="A3:AI95"/>
  <mergeCells count="1">
    <mergeCell ref="C1:L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H32"/>
  <sheetViews>
    <sheetView showZeros="0" zoomScale="86" zoomScaleNormal="86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24.8515625" style="68" customWidth="1"/>
    <col min="2" max="2" width="8.421875" style="68" customWidth="1"/>
    <col min="3" max="4" width="12.421875" style="68" customWidth="1"/>
    <col min="5" max="5" width="13.8515625" style="68" customWidth="1"/>
    <col min="6" max="8" width="10.8515625" style="68" customWidth="1"/>
    <col min="9" max="9" width="12.57421875" style="68" customWidth="1"/>
    <col min="10" max="10" width="12.28125" style="68" customWidth="1"/>
    <col min="11" max="16" width="10.8515625" style="68" customWidth="1"/>
    <col min="17" max="17" width="12.8515625" style="68" customWidth="1"/>
    <col min="18" max="18" width="13.57421875" style="68" customWidth="1"/>
    <col min="19" max="19" width="13.7109375" style="68" customWidth="1"/>
    <col min="20" max="20" width="6.00390625" style="68" customWidth="1"/>
    <col min="21" max="21" width="17.8515625" style="68" customWidth="1"/>
    <col min="22" max="23" width="12.8515625" style="68" customWidth="1"/>
    <col min="24" max="35" width="11.28125" style="68" customWidth="1"/>
    <col min="36" max="16384" width="9.140625" style="68" customWidth="1"/>
  </cols>
  <sheetData>
    <row r="1" spans="1:32" ht="12.75">
      <c r="A1" s="66" t="s">
        <v>121</v>
      </c>
      <c r="B1" s="2" t="s">
        <v>25</v>
      </c>
      <c r="C1" s="56">
        <f>'10-ОИП_Раздел 1'!C1</f>
        <v>0</v>
      </c>
      <c r="D1" s="56">
        <f>'10-ОИП_Раздел 1'!D1</f>
      </c>
      <c r="E1" s="165"/>
      <c r="F1" s="67"/>
      <c r="G1" s="67"/>
      <c r="AE1" s="69" t="e">
        <f>ROW(#REF!)</f>
        <v>#REF!</v>
      </c>
      <c r="AF1" s="70" t="e">
        <f>COLUMN(#REF!)</f>
        <v>#REF!</v>
      </c>
    </row>
    <row r="2" spans="2:30" s="71" customFormat="1" ht="15.75" customHeight="1">
      <c r="B2" s="72"/>
      <c r="C2" s="208" t="s">
        <v>179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15" s="1" customFormat="1" ht="15">
      <c r="A3" s="107"/>
      <c r="B3" s="107"/>
      <c r="C3" s="107"/>
      <c r="D3" s="107"/>
      <c r="E3" s="155"/>
      <c r="F3" s="151"/>
      <c r="G3" s="109">
        <f>'10-ОИП_Раздел 1'!C8</f>
      </c>
      <c r="H3" s="110">
        <f>'10-ОИП_Раздел 1'!D8</f>
        <v>0</v>
      </c>
      <c r="I3" s="91">
        <f>'10-ОИП_Раздел 1'!E8</f>
        <v>0</v>
      </c>
      <c r="J3" s="23" t="s">
        <v>32</v>
      </c>
      <c r="K3" s="151"/>
      <c r="L3" s="151"/>
      <c r="M3" s="151"/>
      <c r="N3" s="151"/>
      <c r="O3" s="111"/>
    </row>
    <row r="4" spans="1:23" s="24" customFormat="1" ht="12.75" customHeight="1">
      <c r="A4" s="107"/>
      <c r="B4" s="107"/>
      <c r="C4" s="107"/>
      <c r="D4" s="107"/>
      <c r="E4" s="112"/>
      <c r="G4" s="192" t="s">
        <v>132</v>
      </c>
      <c r="H4" s="192"/>
      <c r="I4" s="192"/>
      <c r="J4" s="219"/>
      <c r="K4" s="157"/>
      <c r="O4" s="157"/>
      <c r="T4" s="1"/>
      <c r="U4" s="25"/>
      <c r="V4" s="25"/>
      <c r="W4" s="25"/>
    </row>
    <row r="5" spans="1:19" s="1" customFormat="1" ht="15.75">
      <c r="A5" s="108"/>
      <c r="B5" s="108"/>
      <c r="C5" s="197">
        <f>'10-ОИП_Раздел 1'!A10</f>
        <v>0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14"/>
      <c r="Q5" s="114"/>
      <c r="R5" s="114"/>
      <c r="S5" s="114"/>
    </row>
    <row r="6" spans="1:19" s="1" customFormat="1" ht="12.75" customHeight="1">
      <c r="A6" s="108"/>
      <c r="B6" s="108"/>
      <c r="C6" s="212" t="s">
        <v>119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113"/>
      <c r="Q6" s="113"/>
      <c r="R6" s="113"/>
      <c r="S6" s="113"/>
    </row>
    <row r="7" spans="1:19" s="1" customFormat="1" ht="15" customHeight="1">
      <c r="A7" s="108"/>
      <c r="B7" s="108"/>
      <c r="C7" s="197">
        <f>'10-ОИП_Раздел 1'!A12</f>
        <v>0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14"/>
      <c r="Q7" s="114"/>
      <c r="R7" s="114"/>
      <c r="S7" s="114"/>
    </row>
    <row r="8" spans="1:19" s="1" customFormat="1" ht="12.75" customHeight="1">
      <c r="A8" s="108"/>
      <c r="B8" s="108"/>
      <c r="C8" s="212" t="s">
        <v>176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113"/>
      <c r="Q8" s="113"/>
      <c r="R8" s="113"/>
      <c r="S8" s="113"/>
    </row>
    <row r="9" spans="1:34" ht="9.75" customHeight="1">
      <c r="A9" s="74" t="s">
        <v>107</v>
      </c>
      <c r="B9" s="75"/>
      <c r="C9" s="75"/>
      <c r="D9" s="75"/>
      <c r="E9" s="75"/>
      <c r="F9" s="75"/>
      <c r="G9" s="75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X9" s="76"/>
      <c r="Y9" s="76"/>
      <c r="Z9" s="76"/>
      <c r="AA9" s="76"/>
      <c r="AB9" s="76"/>
      <c r="AC9" s="76"/>
      <c r="AD9" s="76"/>
      <c r="AF9" s="77"/>
      <c r="AG9" s="77"/>
      <c r="AH9" s="77"/>
    </row>
    <row r="10" spans="1:20" ht="12.75" customHeight="1">
      <c r="A10" s="216" t="s">
        <v>108</v>
      </c>
      <c r="B10" s="216" t="s">
        <v>26</v>
      </c>
      <c r="C10" s="213" t="s">
        <v>138</v>
      </c>
      <c r="D10" s="213"/>
      <c r="E10" s="213"/>
      <c r="F10" s="213"/>
      <c r="G10" s="213"/>
      <c r="H10" s="213"/>
      <c r="I10" s="213"/>
      <c r="J10" s="213"/>
      <c r="K10" s="214" t="s">
        <v>152</v>
      </c>
      <c r="L10" s="214"/>
      <c r="M10" s="214"/>
      <c r="N10" s="215"/>
      <c r="O10" s="211" t="s">
        <v>145</v>
      </c>
      <c r="P10" s="211"/>
      <c r="Q10" s="211"/>
      <c r="R10" s="211"/>
      <c r="S10" s="211" t="s">
        <v>150</v>
      </c>
      <c r="T10" s="78"/>
    </row>
    <row r="11" spans="1:20" ht="66.75" customHeight="1">
      <c r="A11" s="217"/>
      <c r="B11" s="217"/>
      <c r="C11" s="224" t="s">
        <v>139</v>
      </c>
      <c r="D11" s="215"/>
      <c r="E11" s="230" t="s">
        <v>180</v>
      </c>
      <c r="F11" s="231"/>
      <c r="G11" s="231"/>
      <c r="H11" s="232"/>
      <c r="I11" s="220" t="s">
        <v>143</v>
      </c>
      <c r="J11" s="221"/>
      <c r="K11" s="220" t="s">
        <v>139</v>
      </c>
      <c r="L11" s="221"/>
      <c r="M11" s="220" t="s">
        <v>143</v>
      </c>
      <c r="N11" s="221"/>
      <c r="O11" s="211"/>
      <c r="P11" s="211"/>
      <c r="Q11" s="211"/>
      <c r="R11" s="211"/>
      <c r="S11" s="211"/>
      <c r="T11" s="79"/>
    </row>
    <row r="12" spans="1:32" ht="29.25" customHeight="1">
      <c r="A12" s="217"/>
      <c r="B12" s="217"/>
      <c r="C12" s="225" t="s">
        <v>181</v>
      </c>
      <c r="D12" s="225" t="s">
        <v>141</v>
      </c>
      <c r="E12" s="224" t="s">
        <v>140</v>
      </c>
      <c r="F12" s="215"/>
      <c r="G12" s="228" t="s">
        <v>109</v>
      </c>
      <c r="H12" s="229"/>
      <c r="I12" s="222"/>
      <c r="J12" s="223"/>
      <c r="K12" s="222"/>
      <c r="L12" s="223"/>
      <c r="M12" s="222"/>
      <c r="N12" s="223"/>
      <c r="O12" s="209" t="s">
        <v>146</v>
      </c>
      <c r="P12" s="209" t="s">
        <v>147</v>
      </c>
      <c r="Q12" s="209" t="s">
        <v>148</v>
      </c>
      <c r="R12" s="209" t="s">
        <v>149</v>
      </c>
      <c r="S12" s="209" t="s">
        <v>151</v>
      </c>
      <c r="T12" s="79"/>
      <c r="AE12" s="95"/>
      <c r="AF12" s="95"/>
    </row>
    <row r="13" spans="1:32" ht="74.25" customHeight="1">
      <c r="A13" s="218"/>
      <c r="B13" s="218"/>
      <c r="C13" s="226"/>
      <c r="D13" s="226"/>
      <c r="E13" s="97" t="s">
        <v>116</v>
      </c>
      <c r="F13" s="98" t="s">
        <v>142</v>
      </c>
      <c r="G13" s="97" t="s">
        <v>116</v>
      </c>
      <c r="H13" s="98" t="s">
        <v>142</v>
      </c>
      <c r="I13" s="97" t="s">
        <v>116</v>
      </c>
      <c r="J13" s="98" t="s">
        <v>142</v>
      </c>
      <c r="K13" s="97" t="s">
        <v>116</v>
      </c>
      <c r="L13" s="98" t="s">
        <v>142</v>
      </c>
      <c r="M13" s="97" t="s">
        <v>116</v>
      </c>
      <c r="N13" s="98" t="s">
        <v>142</v>
      </c>
      <c r="O13" s="210"/>
      <c r="P13" s="210"/>
      <c r="Q13" s="210"/>
      <c r="R13" s="210"/>
      <c r="S13" s="210"/>
      <c r="T13" s="79"/>
      <c r="U13" s="205" t="s">
        <v>43</v>
      </c>
      <c r="V13" s="206"/>
      <c r="W13" s="206"/>
      <c r="X13" s="206"/>
      <c r="Y13" s="206"/>
      <c r="Z13" s="207"/>
      <c r="AA13"/>
      <c r="AB13"/>
      <c r="AC13"/>
      <c r="AD13"/>
      <c r="AE13" s="95"/>
      <c r="AF13" s="95"/>
    </row>
    <row r="14" spans="1:26" s="71" customFormat="1" ht="20.25" customHeight="1">
      <c r="A14" s="98" t="s">
        <v>27</v>
      </c>
      <c r="B14" s="98" t="s">
        <v>28</v>
      </c>
      <c r="C14" s="80">
        <v>1</v>
      </c>
      <c r="D14" s="80">
        <v>2</v>
      </c>
      <c r="E14" s="80">
        <v>3</v>
      </c>
      <c r="F14" s="80">
        <v>4</v>
      </c>
      <c r="G14" s="80">
        <v>5</v>
      </c>
      <c r="H14" s="80">
        <v>6</v>
      </c>
      <c r="I14" s="80">
        <v>7</v>
      </c>
      <c r="J14" s="80">
        <v>8</v>
      </c>
      <c r="K14" s="80">
        <v>9</v>
      </c>
      <c r="L14" s="80">
        <v>10</v>
      </c>
      <c r="M14" s="80">
        <v>11</v>
      </c>
      <c r="N14" s="80">
        <v>12</v>
      </c>
      <c r="O14" s="80">
        <v>13</v>
      </c>
      <c r="P14" s="80">
        <v>14</v>
      </c>
      <c r="Q14" s="80">
        <v>15</v>
      </c>
      <c r="R14" s="80">
        <v>16</v>
      </c>
      <c r="S14" s="80">
        <v>17</v>
      </c>
      <c r="U14" s="94" t="s">
        <v>44</v>
      </c>
      <c r="V14" s="94" t="s">
        <v>185</v>
      </c>
      <c r="W14" s="94" t="s">
        <v>201</v>
      </c>
      <c r="X14" s="94" t="s">
        <v>186</v>
      </c>
      <c r="Y14" s="94" t="s">
        <v>187</v>
      </c>
      <c r="Z14" s="94" t="s">
        <v>194</v>
      </c>
    </row>
    <row r="15" spans="1:26" ht="12.75">
      <c r="A15" s="82" t="s">
        <v>182</v>
      </c>
      <c r="B15" s="90" t="s">
        <v>83</v>
      </c>
      <c r="C15" s="83">
        <f aca="true" t="shared" si="0" ref="C15:C23">SUM(E15,G15)</f>
        <v>0</v>
      </c>
      <c r="D15" s="83">
        <f aca="true" t="shared" si="1" ref="D15:D23">SUM(F15,H15)</f>
        <v>0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3">
        <f aca="true" t="shared" si="2" ref="O15:O23">SUM(P15,Q15,R15)</f>
        <v>0</v>
      </c>
      <c r="P15" s="84"/>
      <c r="Q15" s="84"/>
      <c r="R15" s="84"/>
      <c r="S15" s="84"/>
      <c r="U15" s="81">
        <v>10</v>
      </c>
      <c r="V15" s="85">
        <f aca="true" t="shared" si="3" ref="V15:V24">IF(E15&gt;=F15,0,E15-F15)</f>
        <v>0</v>
      </c>
      <c r="W15" s="85">
        <f aca="true" t="shared" si="4" ref="W15:W24">IF(G15&gt;=H15,0,G15-H15)</f>
        <v>0</v>
      </c>
      <c r="X15" s="85">
        <f aca="true" t="shared" si="5" ref="X15:X24">IF(I15&gt;=J15,0,I15-J15)</f>
        <v>0</v>
      </c>
      <c r="Y15" s="85">
        <f aca="true" t="shared" si="6" ref="Y15:Y24">IF(K15&gt;=L15,0,K15-L15)</f>
        <v>0</v>
      </c>
      <c r="Z15" s="85">
        <f aca="true" t="shared" si="7" ref="Z15:Z24">IF(M15&gt;=N15,0,M15-N15)</f>
        <v>0</v>
      </c>
    </row>
    <row r="16" spans="1:26" ht="25.5">
      <c r="A16" s="89" t="s">
        <v>183</v>
      </c>
      <c r="B16" s="90" t="s">
        <v>110</v>
      </c>
      <c r="C16" s="83">
        <f t="shared" si="0"/>
        <v>0</v>
      </c>
      <c r="D16" s="83">
        <f t="shared" si="1"/>
        <v>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3">
        <f t="shared" si="2"/>
        <v>0</v>
      </c>
      <c r="P16" s="84"/>
      <c r="Q16" s="84"/>
      <c r="R16" s="84"/>
      <c r="S16" s="84"/>
      <c r="U16" s="86" t="s">
        <v>110</v>
      </c>
      <c r="V16" s="85">
        <f t="shared" si="3"/>
        <v>0</v>
      </c>
      <c r="W16" s="85">
        <f t="shared" si="4"/>
        <v>0</v>
      </c>
      <c r="X16" s="85">
        <f t="shared" si="5"/>
        <v>0</v>
      </c>
      <c r="Y16" s="85">
        <f t="shared" si="6"/>
        <v>0</v>
      </c>
      <c r="Z16" s="85">
        <f t="shared" si="7"/>
        <v>0</v>
      </c>
    </row>
    <row r="17" spans="1:26" ht="12.75">
      <c r="A17" s="82" t="s">
        <v>111</v>
      </c>
      <c r="B17" s="90" t="s">
        <v>45</v>
      </c>
      <c r="C17" s="83">
        <f t="shared" si="0"/>
        <v>0</v>
      </c>
      <c r="D17" s="83">
        <f t="shared" si="1"/>
        <v>0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3">
        <f t="shared" si="2"/>
        <v>0</v>
      </c>
      <c r="P17" s="84"/>
      <c r="Q17" s="84"/>
      <c r="R17" s="84"/>
      <c r="S17" s="84"/>
      <c r="U17" s="86" t="s">
        <v>45</v>
      </c>
      <c r="V17" s="85">
        <f t="shared" si="3"/>
        <v>0</v>
      </c>
      <c r="W17" s="85">
        <f t="shared" si="4"/>
        <v>0</v>
      </c>
      <c r="X17" s="85">
        <f t="shared" si="5"/>
        <v>0</v>
      </c>
      <c r="Y17" s="85">
        <f t="shared" si="6"/>
        <v>0</v>
      </c>
      <c r="Z17" s="85">
        <f t="shared" si="7"/>
        <v>0</v>
      </c>
    </row>
    <row r="18" spans="1:26" ht="38.25">
      <c r="A18" s="82" t="s">
        <v>112</v>
      </c>
      <c r="B18" s="90" t="s">
        <v>63</v>
      </c>
      <c r="C18" s="83">
        <f t="shared" si="0"/>
        <v>0</v>
      </c>
      <c r="D18" s="83">
        <f t="shared" si="1"/>
        <v>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3">
        <f t="shared" si="2"/>
        <v>0</v>
      </c>
      <c r="P18" s="84"/>
      <c r="Q18" s="84"/>
      <c r="R18" s="84"/>
      <c r="S18" s="84"/>
      <c r="U18" s="86" t="s">
        <v>63</v>
      </c>
      <c r="V18" s="85">
        <f t="shared" si="3"/>
        <v>0</v>
      </c>
      <c r="W18" s="85">
        <f t="shared" si="4"/>
        <v>0</v>
      </c>
      <c r="X18" s="85">
        <f t="shared" si="5"/>
        <v>0</v>
      </c>
      <c r="Y18" s="85">
        <f t="shared" si="6"/>
        <v>0</v>
      </c>
      <c r="Z18" s="85">
        <f t="shared" si="7"/>
        <v>0</v>
      </c>
    </row>
    <row r="19" spans="1:26" ht="12.75">
      <c r="A19" s="82" t="s">
        <v>113</v>
      </c>
      <c r="B19" s="90" t="s">
        <v>67</v>
      </c>
      <c r="C19" s="83">
        <f t="shared" si="0"/>
        <v>0</v>
      </c>
      <c r="D19" s="83">
        <f t="shared" si="1"/>
        <v>0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3">
        <f t="shared" si="2"/>
        <v>0</v>
      </c>
      <c r="P19" s="84"/>
      <c r="Q19" s="84"/>
      <c r="R19" s="84"/>
      <c r="S19" s="84"/>
      <c r="U19" s="86" t="s">
        <v>67</v>
      </c>
      <c r="V19" s="85">
        <f t="shared" si="3"/>
        <v>0</v>
      </c>
      <c r="W19" s="85">
        <f t="shared" si="4"/>
        <v>0</v>
      </c>
      <c r="X19" s="85">
        <f t="shared" si="5"/>
        <v>0</v>
      </c>
      <c r="Y19" s="85">
        <f t="shared" si="6"/>
        <v>0</v>
      </c>
      <c r="Z19" s="85">
        <f t="shared" si="7"/>
        <v>0</v>
      </c>
    </row>
    <row r="20" spans="1:26" ht="25.5">
      <c r="A20" s="82" t="s">
        <v>114</v>
      </c>
      <c r="B20" s="90" t="s">
        <v>76</v>
      </c>
      <c r="C20" s="83">
        <f t="shared" si="0"/>
        <v>0</v>
      </c>
      <c r="D20" s="83">
        <f t="shared" si="1"/>
        <v>0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3">
        <f t="shared" si="2"/>
        <v>0</v>
      </c>
      <c r="P20" s="84"/>
      <c r="Q20" s="84"/>
      <c r="R20" s="84"/>
      <c r="S20" s="84"/>
      <c r="U20" s="86" t="s">
        <v>76</v>
      </c>
      <c r="V20" s="85">
        <f t="shared" si="3"/>
        <v>0</v>
      </c>
      <c r="W20" s="85">
        <f t="shared" si="4"/>
        <v>0</v>
      </c>
      <c r="X20" s="85">
        <f t="shared" si="5"/>
        <v>0</v>
      </c>
      <c r="Y20" s="85">
        <f t="shared" si="6"/>
        <v>0</v>
      </c>
      <c r="Z20" s="85">
        <f t="shared" si="7"/>
        <v>0</v>
      </c>
    </row>
    <row r="21" spans="1:26" ht="12.75">
      <c r="A21" s="82" t="s">
        <v>184</v>
      </c>
      <c r="B21" s="90" t="s">
        <v>84</v>
      </c>
      <c r="C21" s="83">
        <f t="shared" si="0"/>
        <v>0</v>
      </c>
      <c r="D21" s="83">
        <f t="shared" si="1"/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3">
        <f t="shared" si="2"/>
        <v>0</v>
      </c>
      <c r="P21" s="84"/>
      <c r="Q21" s="84"/>
      <c r="R21" s="84"/>
      <c r="S21" s="84"/>
      <c r="U21" s="86" t="s">
        <v>84</v>
      </c>
      <c r="V21" s="85">
        <f t="shared" si="3"/>
        <v>0</v>
      </c>
      <c r="W21" s="85">
        <f t="shared" si="4"/>
        <v>0</v>
      </c>
      <c r="X21" s="85">
        <f t="shared" si="5"/>
        <v>0</v>
      </c>
      <c r="Y21" s="85">
        <f t="shared" si="6"/>
        <v>0</v>
      </c>
      <c r="Z21" s="85">
        <f t="shared" si="7"/>
        <v>0</v>
      </c>
    </row>
    <row r="22" spans="1:26" ht="25.5">
      <c r="A22" s="82" t="s">
        <v>144</v>
      </c>
      <c r="B22" s="90" t="s">
        <v>85</v>
      </c>
      <c r="C22" s="83">
        <f t="shared" si="0"/>
        <v>0</v>
      </c>
      <c r="D22" s="83">
        <f t="shared" si="1"/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3">
        <f t="shared" si="2"/>
        <v>0</v>
      </c>
      <c r="P22" s="84"/>
      <c r="Q22" s="84"/>
      <c r="R22" s="84"/>
      <c r="S22" s="84"/>
      <c r="U22" s="86" t="s">
        <v>85</v>
      </c>
      <c r="V22" s="85">
        <f t="shared" si="3"/>
        <v>0</v>
      </c>
      <c r="W22" s="85">
        <f t="shared" si="4"/>
        <v>0</v>
      </c>
      <c r="X22" s="85">
        <f t="shared" si="5"/>
        <v>0</v>
      </c>
      <c r="Y22" s="85">
        <f t="shared" si="6"/>
        <v>0</v>
      </c>
      <c r="Z22" s="85">
        <f t="shared" si="7"/>
        <v>0</v>
      </c>
    </row>
    <row r="23" spans="1:26" ht="12.75">
      <c r="A23" s="82" t="s">
        <v>115</v>
      </c>
      <c r="B23" s="90" t="s">
        <v>86</v>
      </c>
      <c r="C23" s="83">
        <f t="shared" si="0"/>
        <v>0</v>
      </c>
      <c r="D23" s="83">
        <f t="shared" si="1"/>
        <v>0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3">
        <f t="shared" si="2"/>
        <v>0</v>
      </c>
      <c r="P23" s="84"/>
      <c r="Q23" s="84"/>
      <c r="R23" s="84"/>
      <c r="S23" s="84"/>
      <c r="U23" s="86" t="s">
        <v>86</v>
      </c>
      <c r="V23" s="85">
        <f t="shared" si="3"/>
        <v>0</v>
      </c>
      <c r="W23" s="85">
        <f t="shared" si="4"/>
        <v>0</v>
      </c>
      <c r="X23" s="85">
        <f t="shared" si="5"/>
        <v>0</v>
      </c>
      <c r="Y23" s="85">
        <f t="shared" si="6"/>
        <v>0</v>
      </c>
      <c r="Z23" s="85">
        <f t="shared" si="7"/>
        <v>0</v>
      </c>
    </row>
    <row r="24" spans="1:26" ht="12.75">
      <c r="A24" s="92" t="s">
        <v>116</v>
      </c>
      <c r="B24" s="93" t="s">
        <v>87</v>
      </c>
      <c r="C24" s="83">
        <f aca="true" t="shared" si="8" ref="C24:S24">SUM(C15,C17:C21,C23)</f>
        <v>0</v>
      </c>
      <c r="D24" s="83">
        <f t="shared" si="8"/>
        <v>0</v>
      </c>
      <c r="E24" s="83">
        <f t="shared" si="8"/>
        <v>0</v>
      </c>
      <c r="F24" s="83">
        <f t="shared" si="8"/>
        <v>0</v>
      </c>
      <c r="G24" s="83">
        <f t="shared" si="8"/>
        <v>0</v>
      </c>
      <c r="H24" s="83">
        <f t="shared" si="8"/>
        <v>0</v>
      </c>
      <c r="I24" s="83">
        <f t="shared" si="8"/>
        <v>0</v>
      </c>
      <c r="J24" s="83">
        <f t="shared" si="8"/>
        <v>0</v>
      </c>
      <c r="K24" s="83">
        <f t="shared" si="8"/>
        <v>0</v>
      </c>
      <c r="L24" s="83">
        <f t="shared" si="8"/>
        <v>0</v>
      </c>
      <c r="M24" s="83">
        <f t="shared" si="8"/>
        <v>0</v>
      </c>
      <c r="N24" s="83">
        <f t="shared" si="8"/>
        <v>0</v>
      </c>
      <c r="O24" s="83">
        <f t="shared" si="8"/>
        <v>0</v>
      </c>
      <c r="P24" s="83">
        <f t="shared" si="8"/>
        <v>0</v>
      </c>
      <c r="Q24" s="83">
        <f t="shared" si="8"/>
        <v>0</v>
      </c>
      <c r="R24" s="83">
        <f t="shared" si="8"/>
        <v>0</v>
      </c>
      <c r="S24" s="83">
        <f t="shared" si="8"/>
        <v>0</v>
      </c>
      <c r="U24" s="86" t="s">
        <v>87</v>
      </c>
      <c r="V24" s="85">
        <f t="shared" si="3"/>
        <v>0</v>
      </c>
      <c r="W24" s="85">
        <f t="shared" si="4"/>
        <v>0</v>
      </c>
      <c r="X24" s="85">
        <f t="shared" si="5"/>
        <v>0</v>
      </c>
      <c r="Y24" s="85">
        <f t="shared" si="6"/>
        <v>0</v>
      </c>
      <c r="Z24" s="85">
        <f t="shared" si="7"/>
        <v>0</v>
      </c>
    </row>
    <row r="25" spans="6:7" ht="12.75">
      <c r="F25" s="87"/>
      <c r="G25" s="87"/>
    </row>
    <row r="26" spans="1:19" s="115" customFormat="1" ht="15.75" customHeight="1">
      <c r="A26" s="160"/>
      <c r="B26" s="160"/>
      <c r="C26" s="161"/>
      <c r="D26" s="161"/>
      <c r="E26" s="161"/>
      <c r="F26" s="161"/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</row>
    <row r="27" spans="1:19" s="115" customFormat="1" ht="15.75">
      <c r="A27" s="161"/>
      <c r="B27" s="161"/>
      <c r="C27" s="161"/>
      <c r="D27" s="161"/>
      <c r="E27" s="227" t="s">
        <v>43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</row>
    <row r="28" spans="1:19" s="115" customFormat="1" ht="25.5">
      <c r="A28" s="158"/>
      <c r="B28" s="158"/>
      <c r="C28" s="162"/>
      <c r="E28" s="164" t="s">
        <v>117</v>
      </c>
      <c r="F28" s="81" t="s">
        <v>124</v>
      </c>
      <c r="G28" s="81" t="s">
        <v>125</v>
      </c>
      <c r="H28" s="81" t="s">
        <v>126</v>
      </c>
      <c r="I28" s="81" t="s">
        <v>127</v>
      </c>
      <c r="J28" s="81" t="s">
        <v>128</v>
      </c>
      <c r="K28" s="81" t="s">
        <v>129</v>
      </c>
      <c r="L28" s="81" t="s">
        <v>130</v>
      </c>
      <c r="M28" s="81" t="s">
        <v>189</v>
      </c>
      <c r="N28" s="81" t="s">
        <v>190</v>
      </c>
      <c r="O28" s="81" t="s">
        <v>191</v>
      </c>
      <c r="P28" s="81" t="s">
        <v>192</v>
      </c>
      <c r="Q28" s="81" t="s">
        <v>193</v>
      </c>
      <c r="R28" s="81" t="s">
        <v>195</v>
      </c>
      <c r="S28" s="81" t="s">
        <v>196</v>
      </c>
    </row>
    <row r="29" spans="1:19" s="115" customFormat="1" ht="25.5">
      <c r="A29" s="161"/>
      <c r="B29" s="159"/>
      <c r="C29" s="161"/>
      <c r="E29" s="81" t="s">
        <v>118</v>
      </c>
      <c r="F29" s="85">
        <f aca="true" t="shared" si="9" ref="F29:O29">IF(E15&gt;=E16,0,E15-E16)</f>
        <v>0</v>
      </c>
      <c r="G29" s="85">
        <f t="shared" si="9"/>
        <v>0</v>
      </c>
      <c r="H29" s="85">
        <f t="shared" si="9"/>
        <v>0</v>
      </c>
      <c r="I29" s="85">
        <f t="shared" si="9"/>
        <v>0</v>
      </c>
      <c r="J29" s="85">
        <f t="shared" si="9"/>
        <v>0</v>
      </c>
      <c r="K29" s="85">
        <f t="shared" si="9"/>
        <v>0</v>
      </c>
      <c r="L29" s="85">
        <f t="shared" si="9"/>
        <v>0</v>
      </c>
      <c r="M29" s="85">
        <f t="shared" si="9"/>
        <v>0</v>
      </c>
      <c r="N29" s="85">
        <f t="shared" si="9"/>
        <v>0</v>
      </c>
      <c r="O29" s="85">
        <f t="shared" si="9"/>
        <v>0</v>
      </c>
      <c r="P29" s="85">
        <f>IF(P15&gt;=P16,0,P15-P16)</f>
        <v>0</v>
      </c>
      <c r="Q29" s="85">
        <f>IF(Q15&gt;=Q16,0,Q15-Q16)</f>
        <v>0</v>
      </c>
      <c r="R29" s="85">
        <f>IF(R15&gt;=R16,0,R15-R16)</f>
        <v>0</v>
      </c>
      <c r="S29" s="85">
        <f>IF(S15&gt;=S16,0,S15-S16)</f>
        <v>0</v>
      </c>
    </row>
    <row r="30" spans="1:19" s="115" customFormat="1" ht="19.5" customHeight="1">
      <c r="A30" s="161"/>
      <c r="B30" s="161"/>
      <c r="C30" s="162"/>
      <c r="D30" s="162"/>
      <c r="E30" s="81" t="s">
        <v>188</v>
      </c>
      <c r="F30" s="85">
        <f aca="true" t="shared" si="10" ref="F30:O30">IF(E21&gt;=E22,0,E21-E22)</f>
        <v>0</v>
      </c>
      <c r="G30" s="85">
        <f t="shared" si="10"/>
        <v>0</v>
      </c>
      <c r="H30" s="85">
        <f t="shared" si="10"/>
        <v>0</v>
      </c>
      <c r="I30" s="85">
        <f t="shared" si="10"/>
        <v>0</v>
      </c>
      <c r="J30" s="85">
        <f t="shared" si="10"/>
        <v>0</v>
      </c>
      <c r="K30" s="85">
        <f t="shared" si="10"/>
        <v>0</v>
      </c>
      <c r="L30" s="85">
        <f t="shared" si="10"/>
        <v>0</v>
      </c>
      <c r="M30" s="85">
        <f t="shared" si="10"/>
        <v>0</v>
      </c>
      <c r="N30" s="85">
        <f t="shared" si="10"/>
        <v>0</v>
      </c>
      <c r="O30" s="85">
        <f t="shared" si="10"/>
        <v>0</v>
      </c>
      <c r="P30" s="85">
        <f>IF(P21&gt;=P22,0,P21-P22)</f>
        <v>0</v>
      </c>
      <c r="Q30" s="85">
        <f>IF(Q21&gt;=Q22,0,Q21-Q22)</f>
        <v>0</v>
      </c>
      <c r="R30" s="85">
        <f>IF(R21&gt;=R22,0,R21-R22)</f>
        <v>0</v>
      </c>
      <c r="S30" s="85">
        <f>IF(S21&gt;=S22,0,S21-S22)</f>
        <v>0</v>
      </c>
    </row>
    <row r="31" spans="1:4" s="115" customFormat="1" ht="26.25" customHeight="1">
      <c r="A31" s="161"/>
      <c r="B31" s="161"/>
      <c r="C31" s="163"/>
      <c r="D31" s="163"/>
    </row>
    <row r="32" spans="1:29" s="115" customFormat="1" ht="27.7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U32" s="117"/>
      <c r="V32" s="117"/>
      <c r="W32" s="117"/>
      <c r="X32" s="117"/>
      <c r="Y32" s="117"/>
      <c r="Z32" s="117"/>
      <c r="AA32" s="117"/>
      <c r="AB32" s="117"/>
      <c r="AC32" s="117"/>
    </row>
    <row r="33" ht="12.75" customHeight="1"/>
  </sheetData>
  <sheetProtection sheet="1" objects="1" scenarios="1"/>
  <mergeCells count="28">
    <mergeCell ref="E27:S27"/>
    <mergeCell ref="E12:F12"/>
    <mergeCell ref="G12:H12"/>
    <mergeCell ref="K11:L12"/>
    <mergeCell ref="E11:H11"/>
    <mergeCell ref="O12:O13"/>
    <mergeCell ref="P12:P13"/>
    <mergeCell ref="Q12:Q13"/>
    <mergeCell ref="R12:R13"/>
    <mergeCell ref="A10:A13"/>
    <mergeCell ref="B10:B13"/>
    <mergeCell ref="C7:O7"/>
    <mergeCell ref="C8:O8"/>
    <mergeCell ref="G4:J4"/>
    <mergeCell ref="I11:J12"/>
    <mergeCell ref="C11:D11"/>
    <mergeCell ref="C12:C13"/>
    <mergeCell ref="D12:D13"/>
    <mergeCell ref="M11:N12"/>
    <mergeCell ref="U13:Z13"/>
    <mergeCell ref="C2:O2"/>
    <mergeCell ref="S12:S13"/>
    <mergeCell ref="O10:R11"/>
    <mergeCell ref="S10:S11"/>
    <mergeCell ref="C5:O5"/>
    <mergeCell ref="C6:O6"/>
    <mergeCell ref="C10:J10"/>
    <mergeCell ref="K10:N10"/>
  </mergeCells>
  <dataValidations count="4">
    <dataValidation allowBlank="1" prompt="Выберите или введите наименование лесничества" sqref="C7 P7:S7"/>
    <dataValidation allowBlank="1" prompt="Выберите наименование организации" errorTitle="ОШИБКА!" error="Воспользуйтесь выпадающим списком" sqref="C5 P5:S5"/>
    <dataValidation errorStyle="information" allowBlank="1" showInputMessage="1" showErrorMessage="1" errorTitle="ОШИБКА!" error="Воспользуйтесь выпадающим списком" sqref="I3"/>
    <dataValidation allowBlank="1" showInputMessage="1" showErrorMessage="1" errorTitle="ОШИБКА!" error="Воспользуйтесь выпадающим списком" sqref="H3 O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F31"/>
  <sheetViews>
    <sheetView showZeros="0" zoomScalePageLayoutView="0" workbookViewId="0" topLeftCell="A1">
      <selection activeCell="A18" sqref="A18"/>
    </sheetView>
  </sheetViews>
  <sheetFormatPr defaultColWidth="9.140625" defaultRowHeight="15"/>
  <cols>
    <col min="1" max="1" width="32.421875" style="0" customWidth="1"/>
    <col min="2" max="2" width="9.00390625" style="0" customWidth="1"/>
    <col min="3" max="3" width="12.00390625" style="0" customWidth="1"/>
    <col min="4" max="4" width="11.421875" style="0" customWidth="1"/>
    <col min="5" max="9" width="13.00390625" style="0" customWidth="1"/>
    <col min="10" max="12" width="12.00390625" style="0" customWidth="1"/>
  </cols>
  <sheetData>
    <row r="1" spans="1:32" s="68" customFormat="1" ht="12.75">
      <c r="A1" s="66" t="s">
        <v>197</v>
      </c>
      <c r="B1" s="2" t="s">
        <v>25</v>
      </c>
      <c r="C1" s="56">
        <f>'10-ОИП_Раздел 1'!C1</f>
        <v>0</v>
      </c>
      <c r="D1" s="56">
        <f>'10-ОИП_Раздел 1'!D1</f>
      </c>
      <c r="E1" s="165"/>
      <c r="F1" s="67"/>
      <c r="G1" s="67"/>
      <c r="AE1" s="69" t="e">
        <f>ROW(#REF!)</f>
        <v>#REF!</v>
      </c>
      <c r="AF1" s="70" t="e">
        <f>COLUMN(#REF!)</f>
        <v>#REF!</v>
      </c>
    </row>
    <row r="2" spans="1:12" ht="37.5" customHeight="1">
      <c r="A2" s="249" t="s">
        <v>153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s="122" customFormat="1" ht="15">
      <c r="A3" s="123"/>
      <c r="B3" s="123"/>
      <c r="C3" s="123"/>
      <c r="D3" s="123"/>
      <c r="E3" s="124">
        <f>'10-ОИП_Раздел 1'!C8</f>
      </c>
      <c r="F3" s="125">
        <f>'10-ОИП_Раздел 1'!D8</f>
        <v>0</v>
      </c>
      <c r="G3" s="126">
        <f>'10-ОИП_Раздел 1'!E8</f>
        <v>0</v>
      </c>
      <c r="H3" s="127" t="s">
        <v>32</v>
      </c>
      <c r="I3" s="127"/>
      <c r="J3" s="128"/>
      <c r="K3" s="129"/>
      <c r="L3" s="130"/>
    </row>
    <row r="4" spans="1:12" s="122" customFormat="1" ht="15">
      <c r="A4" s="123"/>
      <c r="B4" s="123"/>
      <c r="C4" s="123"/>
      <c r="D4" s="123"/>
      <c r="E4" s="245" t="s">
        <v>132</v>
      </c>
      <c r="F4" s="245"/>
      <c r="G4" s="245"/>
      <c r="H4" s="246"/>
      <c r="I4" s="131"/>
      <c r="J4" s="250"/>
      <c r="K4" s="250"/>
      <c r="L4" s="130"/>
    </row>
    <row r="5" spans="1:12" ht="15.75">
      <c r="A5" s="237">
        <f>'10-ОИП_Раздел 1'!A10</f>
        <v>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 ht="15" customHeight="1">
      <c r="A6" s="251" t="s">
        <v>119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ht="15.75">
      <c r="A7" s="237">
        <f>'10-ОИП_Раздел 1'!A12</f>
        <v>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2" ht="15">
      <c r="A8" s="252" t="s">
        <v>154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ht="15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2" ht="37.5" customHeight="1">
      <c r="A10" s="253" t="s">
        <v>33</v>
      </c>
      <c r="B10" s="254" t="s">
        <v>26</v>
      </c>
      <c r="C10" s="247" t="s">
        <v>168</v>
      </c>
      <c r="D10" s="238" t="s">
        <v>155</v>
      </c>
      <c r="E10" s="239"/>
      <c r="F10" s="239"/>
      <c r="G10" s="239"/>
      <c r="H10" s="240"/>
      <c r="I10" s="241" t="s">
        <v>156</v>
      </c>
      <c r="J10" s="242"/>
      <c r="K10" s="242"/>
      <c r="L10" s="243"/>
    </row>
    <row r="11" spans="1:12" ht="25.5">
      <c r="A11" s="253"/>
      <c r="B11" s="254"/>
      <c r="C11" s="248"/>
      <c r="D11" s="101" t="s">
        <v>116</v>
      </c>
      <c r="E11" s="101" t="s">
        <v>157</v>
      </c>
      <c r="F11" s="101" t="s">
        <v>158</v>
      </c>
      <c r="G11" s="101" t="s">
        <v>159</v>
      </c>
      <c r="H11" s="101" t="s">
        <v>160</v>
      </c>
      <c r="I11" s="101" t="s">
        <v>116</v>
      </c>
      <c r="J11" s="81" t="s">
        <v>161</v>
      </c>
      <c r="K11" s="81" t="s">
        <v>162</v>
      </c>
      <c r="L11" s="81" t="s">
        <v>163</v>
      </c>
    </row>
    <row r="12" spans="1:12" ht="15">
      <c r="A12" s="102" t="s">
        <v>27</v>
      </c>
      <c r="B12" s="102" t="s">
        <v>28</v>
      </c>
      <c r="C12" s="102">
        <v>1</v>
      </c>
      <c r="D12" s="102">
        <v>2</v>
      </c>
      <c r="E12" s="102">
        <v>3</v>
      </c>
      <c r="F12" s="102">
        <v>4</v>
      </c>
      <c r="G12" s="102">
        <v>5</v>
      </c>
      <c r="H12" s="102">
        <v>6</v>
      </c>
      <c r="I12" s="102">
        <v>7</v>
      </c>
      <c r="J12" s="102">
        <v>8</v>
      </c>
      <c r="K12" s="102">
        <v>9</v>
      </c>
      <c r="L12" s="102">
        <v>10</v>
      </c>
    </row>
    <row r="13" spans="1:12" ht="25.5">
      <c r="A13" s="103" t="s">
        <v>164</v>
      </c>
      <c r="B13" s="104">
        <v>10</v>
      </c>
      <c r="C13" s="140">
        <f>SUM(D13,I13)</f>
        <v>0</v>
      </c>
      <c r="D13" s="171">
        <f>SUM(E13,F13,G13,H13)</f>
        <v>0</v>
      </c>
      <c r="E13" s="172"/>
      <c r="F13" s="172"/>
      <c r="G13" s="172"/>
      <c r="H13" s="172"/>
      <c r="I13" s="171">
        <f>SUM(J13,K13,L13)</f>
        <v>0</v>
      </c>
      <c r="J13" s="173"/>
      <c r="K13" s="173"/>
      <c r="L13" s="173"/>
    </row>
    <row r="14" spans="1:12" ht="25.5">
      <c r="A14" s="103" t="s">
        <v>169</v>
      </c>
      <c r="B14" s="104" t="s">
        <v>45</v>
      </c>
      <c r="C14" s="140">
        <f aca="true" t="shared" si="0" ref="C14:C19">SUM(D14,I14)</f>
        <v>0</v>
      </c>
      <c r="D14" s="171">
        <f aca="true" t="shared" si="1" ref="D14:D19">SUM(E14,F14,G14,H14)</f>
        <v>0</v>
      </c>
      <c r="E14" s="172"/>
      <c r="F14" s="172"/>
      <c r="G14" s="172"/>
      <c r="H14" s="172"/>
      <c r="I14" s="171">
        <f aca="true" t="shared" si="2" ref="I14:I19">SUM(J14,K14,L14)</f>
        <v>0</v>
      </c>
      <c r="J14" s="173"/>
      <c r="K14" s="173"/>
      <c r="L14" s="173"/>
    </row>
    <row r="15" spans="1:12" ht="38.25">
      <c r="A15" s="105" t="s">
        <v>165</v>
      </c>
      <c r="B15" s="104" t="s">
        <v>47</v>
      </c>
      <c r="C15" s="140">
        <f t="shared" si="0"/>
        <v>0</v>
      </c>
      <c r="D15" s="171">
        <f t="shared" si="1"/>
        <v>0</v>
      </c>
      <c r="E15" s="172"/>
      <c r="F15" s="172"/>
      <c r="G15" s="172"/>
      <c r="H15" s="172"/>
      <c r="I15" s="171">
        <f t="shared" si="2"/>
        <v>0</v>
      </c>
      <c r="J15" s="173"/>
      <c r="K15" s="173"/>
      <c r="L15" s="173"/>
    </row>
    <row r="16" spans="1:12" ht="15">
      <c r="A16" s="106" t="s">
        <v>412</v>
      </c>
      <c r="B16" s="104" t="s">
        <v>49</v>
      </c>
      <c r="C16" s="140">
        <f t="shared" si="0"/>
        <v>0</v>
      </c>
      <c r="D16" s="171">
        <f t="shared" si="1"/>
        <v>0</v>
      </c>
      <c r="E16" s="172"/>
      <c r="F16" s="172"/>
      <c r="G16" s="172"/>
      <c r="H16" s="172"/>
      <c r="I16" s="171">
        <f t="shared" si="2"/>
        <v>0</v>
      </c>
      <c r="J16" s="173"/>
      <c r="K16" s="173"/>
      <c r="L16" s="173"/>
    </row>
    <row r="17" spans="1:12" ht="15">
      <c r="A17" s="106" t="s">
        <v>166</v>
      </c>
      <c r="B17" s="104" t="s">
        <v>51</v>
      </c>
      <c r="C17" s="140">
        <f t="shared" si="0"/>
        <v>0</v>
      </c>
      <c r="D17" s="171">
        <f t="shared" si="1"/>
        <v>0</v>
      </c>
      <c r="E17" s="172"/>
      <c r="F17" s="172"/>
      <c r="G17" s="172"/>
      <c r="H17" s="172"/>
      <c r="I17" s="171">
        <f t="shared" si="2"/>
        <v>0</v>
      </c>
      <c r="J17" s="173"/>
      <c r="K17" s="173"/>
      <c r="L17" s="173"/>
    </row>
    <row r="18" spans="1:12" ht="38.25">
      <c r="A18" s="103" t="s">
        <v>170</v>
      </c>
      <c r="B18" s="104" t="s">
        <v>63</v>
      </c>
      <c r="C18" s="140">
        <f t="shared" si="0"/>
        <v>0</v>
      </c>
      <c r="D18" s="171">
        <f t="shared" si="1"/>
        <v>0</v>
      </c>
      <c r="E18" s="172"/>
      <c r="F18" s="172"/>
      <c r="G18" s="172"/>
      <c r="H18" s="172"/>
      <c r="I18" s="171">
        <f t="shared" si="2"/>
        <v>0</v>
      </c>
      <c r="J18" s="173"/>
      <c r="K18" s="173"/>
      <c r="L18" s="173"/>
    </row>
    <row r="19" spans="1:12" ht="38.25">
      <c r="A19" s="103" t="s">
        <v>167</v>
      </c>
      <c r="B19" s="104" t="s">
        <v>67</v>
      </c>
      <c r="C19" s="140">
        <f t="shared" si="0"/>
        <v>0</v>
      </c>
      <c r="D19" s="171">
        <f t="shared" si="1"/>
        <v>0</v>
      </c>
      <c r="E19" s="172"/>
      <c r="F19" s="172"/>
      <c r="G19" s="172"/>
      <c r="H19" s="172"/>
      <c r="I19" s="171">
        <f t="shared" si="2"/>
        <v>0</v>
      </c>
      <c r="J19" s="173"/>
      <c r="K19" s="173"/>
      <c r="L19" s="173"/>
    </row>
    <row r="20" spans="1:12" ht="1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2" ht="15">
      <c r="A21" s="142" t="s">
        <v>171</v>
      </c>
      <c r="B21" s="143"/>
      <c r="C21" s="141"/>
      <c r="D21" s="144"/>
      <c r="E21" s="235"/>
      <c r="F21" s="235"/>
      <c r="G21" s="235"/>
      <c r="H21" s="143"/>
      <c r="I21" s="133"/>
      <c r="J21" s="141"/>
      <c r="K21" s="141"/>
      <c r="L21" s="141"/>
    </row>
    <row r="22" spans="1:12" ht="15">
      <c r="A22" s="142"/>
      <c r="B22" s="143"/>
      <c r="C22" s="141"/>
      <c r="D22" s="141"/>
      <c r="E22" s="234" t="s">
        <v>172</v>
      </c>
      <c r="F22" s="234"/>
      <c r="G22" s="234"/>
      <c r="H22" s="143"/>
      <c r="I22" s="134" t="s">
        <v>29</v>
      </c>
      <c r="J22" s="141"/>
      <c r="K22" s="141"/>
      <c r="L22" s="141"/>
    </row>
    <row r="23" spans="1:12" ht="25.5">
      <c r="A23" s="145" t="s">
        <v>173</v>
      </c>
      <c r="B23" s="236"/>
      <c r="C23" s="236"/>
      <c r="D23" s="141"/>
      <c r="E23" s="236"/>
      <c r="F23" s="236"/>
      <c r="G23" s="236"/>
      <c r="H23" s="143"/>
      <c r="I23" s="135"/>
      <c r="J23" s="141"/>
      <c r="K23" s="141"/>
      <c r="L23" s="141"/>
    </row>
    <row r="24" spans="1:12" ht="15">
      <c r="A24" s="143"/>
      <c r="B24" s="234" t="s">
        <v>30</v>
      </c>
      <c r="C24" s="234"/>
      <c r="D24" s="141"/>
      <c r="E24" s="234" t="s">
        <v>172</v>
      </c>
      <c r="F24" s="234"/>
      <c r="G24" s="234"/>
      <c r="H24" s="143"/>
      <c r="I24" s="146" t="s">
        <v>29</v>
      </c>
      <c r="J24" s="141"/>
      <c r="K24" s="141"/>
      <c r="L24" s="141"/>
    </row>
    <row r="25" spans="1:12" ht="15">
      <c r="A25" s="143"/>
      <c r="B25" s="244"/>
      <c r="C25" s="244"/>
      <c r="D25" s="244"/>
      <c r="E25" s="147"/>
      <c r="F25" s="141"/>
      <c r="G25" s="141"/>
      <c r="H25" s="235"/>
      <c r="I25" s="235"/>
      <c r="J25" s="141"/>
      <c r="K25" s="141"/>
      <c r="L25" s="141"/>
    </row>
    <row r="26" spans="1:12" ht="15">
      <c r="A26" s="136"/>
      <c r="B26" s="233" t="s">
        <v>174</v>
      </c>
      <c r="C26" s="233"/>
      <c r="D26" s="233"/>
      <c r="E26" s="148"/>
      <c r="F26" s="149"/>
      <c r="G26" s="141"/>
      <c r="H26" s="233" t="s">
        <v>31</v>
      </c>
      <c r="I26" s="233"/>
      <c r="J26" s="141"/>
      <c r="K26" s="141"/>
      <c r="L26" s="141"/>
    </row>
    <row r="27" spans="1:12" ht="1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1:12" ht="1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1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spans="1:12" ht="1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</row>
    <row r="31" spans="1:12" ht="1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</sheetData>
  <sheetProtection sheet="1" objects="1" scenarios="1"/>
  <mergeCells count="22">
    <mergeCell ref="E4:H4"/>
    <mergeCell ref="C10:C11"/>
    <mergeCell ref="B24:C24"/>
    <mergeCell ref="E24:G24"/>
    <mergeCell ref="A2:L2"/>
    <mergeCell ref="J4:K4"/>
    <mergeCell ref="A6:L6"/>
    <mergeCell ref="A8:L8"/>
    <mergeCell ref="A10:A11"/>
    <mergeCell ref="B10:B11"/>
    <mergeCell ref="A5:L5"/>
    <mergeCell ref="A7:L7"/>
    <mergeCell ref="D10:H10"/>
    <mergeCell ref="I10:L10"/>
    <mergeCell ref="B25:D25"/>
    <mergeCell ref="H25:I25"/>
    <mergeCell ref="B26:D26"/>
    <mergeCell ref="H26:I26"/>
    <mergeCell ref="E22:G22"/>
    <mergeCell ref="E21:G21"/>
    <mergeCell ref="B23:C23"/>
    <mergeCell ref="E23:G23"/>
  </mergeCells>
  <dataValidations count="5">
    <dataValidation allowBlank="1" prompt="Выберите или введите наименование лесничества" sqref="A7"/>
    <dataValidation allowBlank="1" prompt="Выберите наименование организации" errorTitle="ОШИБКА!" error="Воспользуйтесь выпадающим списком" sqref="A5"/>
    <dataValidation errorStyle="information" allowBlank="1" showInputMessage="1" showErrorMessage="1" prompt="Выберите год" errorTitle="ОШИБКА!" error="Воспользуйтесь выпадающим списком" sqref="J3:J4"/>
    <dataValidation allowBlank="1" showInputMessage="1" showErrorMessage="1" errorTitle="ОШИБКА!" error="Воспользуйтесь выпадающим списком" sqref="F3"/>
    <dataValidation errorStyle="information" allowBlank="1" showInputMessage="1" showErrorMessage="1" errorTitle="ОШИБКА!" error="Воспользуйтесь выпадающим списком" sqref="G3"/>
  </dataValidations>
  <printOptions/>
  <pageMargins left="0.7" right="0.7" top="0.75" bottom="0.75" header="0.3" footer="0.3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7109375" style="0" customWidth="1"/>
  </cols>
  <sheetData>
    <row r="1" ht="15">
      <c r="A1" s="169"/>
    </row>
    <row r="2" ht="15">
      <c r="A2" s="169"/>
    </row>
    <row r="3" ht="15">
      <c r="A3" s="169"/>
    </row>
    <row r="4" ht="15">
      <c r="A4" s="169"/>
    </row>
    <row r="5" ht="15">
      <c r="A5" s="169"/>
    </row>
    <row r="6" ht="15">
      <c r="A6" s="169"/>
    </row>
    <row r="7" ht="15">
      <c r="A7" s="16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53" customWidth="1"/>
    <col min="2" max="2" width="13.28125" style="53" customWidth="1"/>
    <col min="3" max="18" width="8.57421875" style="53" customWidth="1"/>
    <col min="19" max="16384" width="9.140625" style="53" customWidth="1"/>
  </cols>
  <sheetData>
    <row r="1" spans="1:18" ht="27" customHeight="1">
      <c r="A1" s="255" t="s">
        <v>12</v>
      </c>
      <c r="B1" s="52" t="s">
        <v>13</v>
      </c>
      <c r="C1" s="255" t="s">
        <v>14</v>
      </c>
      <c r="D1" s="255"/>
      <c r="E1" s="255" t="s">
        <v>15</v>
      </c>
      <c r="F1" s="255"/>
      <c r="G1" s="255" t="s">
        <v>16</v>
      </c>
      <c r="H1" s="255"/>
      <c r="I1" s="255" t="s">
        <v>17</v>
      </c>
      <c r="J1" s="255"/>
      <c r="K1" s="255" t="s">
        <v>18</v>
      </c>
      <c r="L1" s="255"/>
      <c r="M1" s="255" t="s">
        <v>19</v>
      </c>
      <c r="N1" s="255"/>
      <c r="O1" s="255" t="s">
        <v>20</v>
      </c>
      <c r="P1" s="255"/>
      <c r="Q1" s="255" t="s">
        <v>21</v>
      </c>
      <c r="R1" s="255"/>
    </row>
    <row r="2" spans="1:18" ht="12.75">
      <c r="A2" s="255"/>
      <c r="B2" s="52" t="s">
        <v>22</v>
      </c>
      <c r="C2" s="52" t="s">
        <v>23</v>
      </c>
      <c r="D2" s="52" t="s">
        <v>24</v>
      </c>
      <c r="E2" s="52" t="s">
        <v>23</v>
      </c>
      <c r="F2" s="52" t="s">
        <v>24</v>
      </c>
      <c r="G2" s="52" t="s">
        <v>23</v>
      </c>
      <c r="H2" s="52" t="s">
        <v>24</v>
      </c>
      <c r="I2" s="52" t="s">
        <v>23</v>
      </c>
      <c r="J2" s="52" t="s">
        <v>24</v>
      </c>
      <c r="K2" s="52" t="s">
        <v>23</v>
      </c>
      <c r="L2" s="52" t="s">
        <v>24</v>
      </c>
      <c r="M2" s="52" t="s">
        <v>23</v>
      </c>
      <c r="N2" s="52" t="s">
        <v>24</v>
      </c>
      <c r="O2" s="52" t="s">
        <v>23</v>
      </c>
      <c r="P2" s="52" t="s">
        <v>24</v>
      </c>
      <c r="Q2" s="52" t="s">
        <v>23</v>
      </c>
      <c r="R2" s="52" t="s">
        <v>24</v>
      </c>
    </row>
    <row r="3" spans="1:14" ht="12.75">
      <c r="A3" s="54" t="s">
        <v>122</v>
      </c>
      <c r="B3" s="55">
        <v>1</v>
      </c>
      <c r="E3" s="53">
        <v>10</v>
      </c>
      <c r="F3" s="53">
        <v>1</v>
      </c>
      <c r="I3" s="53">
        <v>1</v>
      </c>
      <c r="J3" s="53">
        <v>3</v>
      </c>
      <c r="K3" s="53">
        <v>12</v>
      </c>
      <c r="L3" s="53">
        <v>1</v>
      </c>
      <c r="M3" s="53">
        <v>1</v>
      </c>
      <c r="N3" s="53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5" sqref="M5"/>
    </sheetView>
  </sheetViews>
  <sheetFormatPr defaultColWidth="9.140625" defaultRowHeight="15"/>
  <cols>
    <col min="1" max="1" width="9.421875" style="40" customWidth="1"/>
    <col min="2" max="2" width="26.00390625" style="40" customWidth="1"/>
    <col min="3" max="3" width="14.57421875" style="40" customWidth="1"/>
    <col min="4" max="4" width="9.7109375" style="41" customWidth="1"/>
    <col min="5" max="10" width="3.7109375" style="42" customWidth="1"/>
    <col min="11" max="11" width="4.00390625" style="42" customWidth="1"/>
    <col min="12" max="81" width="3.7109375" style="42" customWidth="1"/>
    <col min="82" max="16384" width="9.140625" style="42" customWidth="1"/>
  </cols>
  <sheetData>
    <row r="1" spans="1:81" s="167" customFormat="1" ht="51.75" customHeight="1">
      <c r="A1" s="38" t="s">
        <v>0</v>
      </c>
      <c r="B1" s="38" t="s">
        <v>1</v>
      </c>
      <c r="C1" s="38" t="s">
        <v>2</v>
      </c>
      <c r="D1" s="39" t="s">
        <v>11</v>
      </c>
      <c r="E1" s="256" t="s">
        <v>199</v>
      </c>
      <c r="F1" s="256"/>
      <c r="G1" s="256" t="s">
        <v>200</v>
      </c>
      <c r="H1" s="256"/>
      <c r="I1" s="256" t="s">
        <v>3</v>
      </c>
      <c r="J1" s="256"/>
      <c r="K1" s="150" t="s">
        <v>4</v>
      </c>
      <c r="L1" s="166" t="s">
        <v>5</v>
      </c>
      <c r="M1" s="168" t="s">
        <v>7</v>
      </c>
      <c r="N1" s="168" t="s">
        <v>6</v>
      </c>
      <c r="O1" s="168" t="s">
        <v>7</v>
      </c>
      <c r="P1" s="168" t="s">
        <v>6</v>
      </c>
      <c r="Q1" s="166" t="s">
        <v>5</v>
      </c>
      <c r="R1" s="168" t="s">
        <v>6</v>
      </c>
      <c r="S1" s="168" t="s">
        <v>7</v>
      </c>
      <c r="T1" s="168" t="s">
        <v>8</v>
      </c>
      <c r="U1" s="168" t="s">
        <v>7</v>
      </c>
      <c r="V1" s="166" t="s">
        <v>5</v>
      </c>
      <c r="W1" s="168" t="s">
        <v>6</v>
      </c>
      <c r="X1" s="168" t="s">
        <v>7</v>
      </c>
      <c r="Y1" s="168" t="s">
        <v>8</v>
      </c>
      <c r="Z1" s="168" t="s">
        <v>7</v>
      </c>
      <c r="AA1" s="166" t="s">
        <v>5</v>
      </c>
      <c r="AB1" s="168" t="s">
        <v>6</v>
      </c>
      <c r="AC1" s="168" t="s">
        <v>7</v>
      </c>
      <c r="AD1" s="168" t="s">
        <v>8</v>
      </c>
      <c r="AE1" s="168" t="s">
        <v>7</v>
      </c>
      <c r="AF1" s="166" t="s">
        <v>5</v>
      </c>
      <c r="AG1" s="168" t="s">
        <v>6</v>
      </c>
      <c r="AH1" s="168" t="s">
        <v>7</v>
      </c>
      <c r="AI1" s="168" t="s">
        <v>8</v>
      </c>
      <c r="AJ1" s="168" t="s">
        <v>7</v>
      </c>
      <c r="AK1" s="166" t="s">
        <v>5</v>
      </c>
      <c r="AL1" s="168" t="s">
        <v>6</v>
      </c>
      <c r="AM1" s="168" t="s">
        <v>7</v>
      </c>
      <c r="AN1" s="168" t="s">
        <v>8</v>
      </c>
      <c r="AO1" s="168" t="s">
        <v>7</v>
      </c>
      <c r="AP1" s="166" t="s">
        <v>5</v>
      </c>
      <c r="AQ1" s="168" t="s">
        <v>6</v>
      </c>
      <c r="AR1" s="168" t="s">
        <v>7</v>
      </c>
      <c r="AS1" s="168" t="s">
        <v>8</v>
      </c>
      <c r="AT1" s="168" t="s">
        <v>7</v>
      </c>
      <c r="AU1" s="166" t="s">
        <v>5</v>
      </c>
      <c r="AV1" s="168" t="s">
        <v>6</v>
      </c>
      <c r="AW1" s="168" t="s">
        <v>7</v>
      </c>
      <c r="AX1" s="168" t="s">
        <v>8</v>
      </c>
      <c r="AY1" s="168" t="s">
        <v>7</v>
      </c>
      <c r="AZ1" s="166" t="s">
        <v>5</v>
      </c>
      <c r="BA1" s="168" t="s">
        <v>6</v>
      </c>
      <c r="BB1" s="168" t="s">
        <v>7</v>
      </c>
      <c r="BC1" s="168" t="s">
        <v>8</v>
      </c>
      <c r="BD1" s="168" t="s">
        <v>7</v>
      </c>
      <c r="BE1" s="166" t="s">
        <v>5</v>
      </c>
      <c r="BF1" s="168" t="s">
        <v>6</v>
      </c>
      <c r="BG1" s="168" t="s">
        <v>7</v>
      </c>
      <c r="BH1" s="168" t="s">
        <v>8</v>
      </c>
      <c r="BI1" s="168" t="s">
        <v>7</v>
      </c>
      <c r="BJ1" s="166" t="s">
        <v>5</v>
      </c>
      <c r="BK1" s="168" t="s">
        <v>6</v>
      </c>
      <c r="BL1" s="168" t="s">
        <v>7</v>
      </c>
      <c r="BM1" s="168" t="s">
        <v>8</v>
      </c>
      <c r="BN1" s="168" t="s">
        <v>7</v>
      </c>
      <c r="BO1" s="166" t="s">
        <v>5</v>
      </c>
      <c r="BP1" s="168" t="s">
        <v>6</v>
      </c>
      <c r="BQ1" s="168" t="s">
        <v>7</v>
      </c>
      <c r="BR1" s="168" t="s">
        <v>8</v>
      </c>
      <c r="BS1" s="168" t="s">
        <v>7</v>
      </c>
      <c r="BT1" s="166" t="s">
        <v>5</v>
      </c>
      <c r="BU1" s="168" t="s">
        <v>6</v>
      </c>
      <c r="BV1" s="168" t="s">
        <v>7</v>
      </c>
      <c r="BW1" s="168" t="s">
        <v>8</v>
      </c>
      <c r="BX1" s="168" t="s">
        <v>7</v>
      </c>
      <c r="BY1" s="166" t="s">
        <v>5</v>
      </c>
      <c r="BZ1" s="168" t="s">
        <v>6</v>
      </c>
      <c r="CA1" s="168" t="s">
        <v>7</v>
      </c>
      <c r="CB1" s="168" t="s">
        <v>8</v>
      </c>
      <c r="CC1" s="168" t="s">
        <v>7</v>
      </c>
    </row>
    <row r="2" spans="1:16" ht="12">
      <c r="A2" s="50" t="s">
        <v>120</v>
      </c>
      <c r="B2" s="51" t="s">
        <v>41</v>
      </c>
      <c r="C2" s="50" t="s">
        <v>122</v>
      </c>
      <c r="D2" s="41">
        <v>7</v>
      </c>
      <c r="E2" s="42">
        <v>3</v>
      </c>
      <c r="F2" s="42">
        <v>1</v>
      </c>
      <c r="G2" s="42">
        <v>1</v>
      </c>
      <c r="H2" s="42">
        <v>1</v>
      </c>
      <c r="K2" s="42">
        <v>1</v>
      </c>
      <c r="L2" s="42">
        <v>1</v>
      </c>
      <c r="M2" s="42">
        <v>3</v>
      </c>
      <c r="N2" s="42">
        <v>19</v>
      </c>
      <c r="O2" s="42">
        <v>8</v>
      </c>
      <c r="P2" s="42">
        <v>48</v>
      </c>
    </row>
    <row r="3" spans="1:16" ht="12">
      <c r="A3" s="50" t="s">
        <v>121</v>
      </c>
      <c r="B3" s="51" t="s">
        <v>41</v>
      </c>
      <c r="C3" s="50" t="s">
        <v>123</v>
      </c>
      <c r="D3" s="41">
        <v>7</v>
      </c>
      <c r="E3" s="42">
        <v>3</v>
      </c>
      <c r="F3" s="42">
        <v>1</v>
      </c>
      <c r="G3" s="42">
        <v>1</v>
      </c>
      <c r="H3" s="42">
        <v>1</v>
      </c>
      <c r="J3" s="88"/>
      <c r="K3" s="42">
        <v>1</v>
      </c>
      <c r="L3" s="42">
        <v>1</v>
      </c>
      <c r="M3" s="42">
        <v>3</v>
      </c>
      <c r="N3" s="42">
        <v>15</v>
      </c>
      <c r="O3" s="42">
        <v>19</v>
      </c>
      <c r="P3" s="42">
        <v>23</v>
      </c>
    </row>
    <row r="4" spans="1:16" ht="12">
      <c r="A4" s="50" t="s">
        <v>197</v>
      </c>
      <c r="B4" s="51" t="s">
        <v>41</v>
      </c>
      <c r="C4" s="50" t="s">
        <v>198</v>
      </c>
      <c r="D4" s="41">
        <v>7</v>
      </c>
      <c r="E4" s="42">
        <v>3</v>
      </c>
      <c r="F4" s="42">
        <v>1</v>
      </c>
      <c r="G4" s="42">
        <v>1</v>
      </c>
      <c r="H4" s="42">
        <v>1</v>
      </c>
      <c r="K4" s="42">
        <v>1</v>
      </c>
      <c r="L4" s="42">
        <v>1</v>
      </c>
      <c r="M4" s="42">
        <v>3</v>
      </c>
      <c r="N4" s="42">
        <v>13</v>
      </c>
      <c r="O4" s="42">
        <v>12</v>
      </c>
      <c r="P4" s="42">
        <v>19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A1" sqref="A1"/>
    </sheetView>
  </sheetViews>
  <sheetFormatPr defaultColWidth="9.140625" defaultRowHeight="15"/>
  <cols>
    <col min="1" max="1" width="27.140625" style="46" bestFit="1" customWidth="1"/>
    <col min="2" max="3" width="26.140625" style="46" bestFit="1" customWidth="1"/>
    <col min="4" max="4" width="27.140625" style="44" bestFit="1" customWidth="1"/>
    <col min="5" max="6" width="26.140625" style="44" bestFit="1" customWidth="1"/>
    <col min="7" max="16384" width="9.140625" style="44" customWidth="1"/>
  </cols>
  <sheetData>
    <row r="1" spans="1:3" ht="12.75">
      <c r="A1" s="43">
        <f>COUNTIF(A3:A1000,"*Ошибка*")</f>
        <v>0</v>
      </c>
      <c r="B1" s="43">
        <f>COUNTIF(B3:B1000,"*Ошибка*")</f>
        <v>0</v>
      </c>
      <c r="C1" s="43">
        <f>COUNTIF(C3:C1000,"*Ошибка*")</f>
        <v>0</v>
      </c>
    </row>
    <row r="2" spans="1:6" ht="12.75">
      <c r="A2" s="45"/>
      <c r="B2" s="45"/>
      <c r="C2" s="45"/>
      <c r="D2" s="45"/>
      <c r="E2" s="45"/>
      <c r="F2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44" bestFit="1" customWidth="1"/>
    <col min="2" max="2" width="26.140625" style="44" bestFit="1" customWidth="1"/>
    <col min="3" max="16384" width="9.140625" style="44" customWidth="1"/>
  </cols>
  <sheetData>
    <row r="2" spans="1:2" ht="12.75">
      <c r="A2" s="45"/>
      <c r="B2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Наталья Александровна</dc:creator>
  <cp:keywords/>
  <dc:description/>
  <cp:lastModifiedBy>Степанова Наталья Александровна</cp:lastModifiedBy>
  <cp:lastPrinted>2022-05-18T13:16:48Z</cp:lastPrinted>
  <dcterms:created xsi:type="dcterms:W3CDTF">2006-09-28T05:33:49Z</dcterms:created>
  <dcterms:modified xsi:type="dcterms:W3CDTF">2024-04-26T08:21:38Z</dcterms:modified>
  <cp:category/>
  <cp:version/>
  <cp:contentType/>
  <cp:contentStatus/>
</cp:coreProperties>
</file>